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16" windowHeight="11016" activeTab="2"/>
  </bookViews>
  <sheets>
    <sheet name="Arkusz1" sheetId="1" r:id="rId1"/>
    <sheet name="kalkulacja" sheetId="2" r:id="rId2"/>
    <sheet name="Arkusz2" sheetId="3" r:id="rId3"/>
    <sheet name="Arkusz3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J25" i="3" s="1"/>
  <c r="L25" i="3" s="1"/>
  <c r="C22" i="3" s="1"/>
  <c r="C3" i="4"/>
  <c r="C2" i="4"/>
  <c r="E55" i="3"/>
  <c r="F54" i="3"/>
  <c r="C54" i="3"/>
  <c r="F53" i="3"/>
  <c r="D53" i="3"/>
  <c r="F52" i="3"/>
  <c r="D52" i="3"/>
  <c r="F51" i="3"/>
  <c r="D51" i="3"/>
  <c r="F50" i="3"/>
  <c r="D50" i="3"/>
  <c r="F49" i="3"/>
  <c r="D49" i="3"/>
  <c r="F48" i="3"/>
  <c r="D48" i="3"/>
  <c r="F28" i="3"/>
  <c r="E28" i="3"/>
  <c r="D28" i="3"/>
  <c r="H27" i="3"/>
  <c r="G27" i="3"/>
  <c r="F27" i="3"/>
  <c r="E27" i="3"/>
  <c r="D27" i="3"/>
  <c r="L26" i="3"/>
  <c r="H26" i="3"/>
  <c r="H31" i="3" s="1"/>
  <c r="G26" i="3"/>
  <c r="G31" i="3" s="1"/>
  <c r="F26" i="3"/>
  <c r="F31" i="3" s="1"/>
  <c r="E26" i="3"/>
  <c r="E31" i="3" s="1"/>
  <c r="D26" i="3"/>
  <c r="D31" i="3" s="1"/>
  <c r="H25" i="3"/>
  <c r="H30" i="3" s="1"/>
  <c r="G25" i="3"/>
  <c r="G30" i="3" s="1"/>
  <c r="F25" i="3"/>
  <c r="F30" i="3" s="1"/>
  <c r="E25" i="3"/>
  <c r="E30" i="3" s="1"/>
  <c r="D25" i="3"/>
  <c r="D30" i="3" s="1"/>
  <c r="H24" i="3"/>
  <c r="H29" i="3" s="1"/>
  <c r="G24" i="3"/>
  <c r="G29" i="3" s="1"/>
  <c r="F24" i="3"/>
  <c r="F29" i="3" s="1"/>
  <c r="E24" i="3"/>
  <c r="E29" i="3" s="1"/>
  <c r="D24" i="3"/>
  <c r="D29" i="3" s="1"/>
  <c r="C4" i="4" l="1"/>
  <c r="C28" i="3"/>
  <c r="K28" i="3" s="1"/>
  <c r="C31" i="3"/>
  <c r="K31" i="3" s="1"/>
  <c r="C26" i="3"/>
  <c r="C25" i="3"/>
  <c r="C27" i="3"/>
  <c r="C24" i="3"/>
  <c r="C29" i="3" s="1"/>
  <c r="K29" i="3" s="1"/>
  <c r="C8" i="3"/>
  <c r="C30" i="3" l="1"/>
  <c r="C12" i="3"/>
  <c r="C16" i="3" l="1"/>
  <c r="K30" i="3"/>
  <c r="C9" i="2" l="1"/>
  <c r="C8" i="2"/>
  <c r="C7" i="2"/>
  <c r="C6" i="2"/>
  <c r="C18" i="2"/>
  <c r="E18" i="2"/>
  <c r="C17" i="2"/>
  <c r="E17" i="2"/>
  <c r="C16" i="2"/>
  <c r="E16" i="2"/>
  <c r="C19" i="2"/>
  <c r="C20" i="2"/>
  <c r="C12" i="2"/>
  <c r="E12" i="2"/>
  <c r="C13" i="2"/>
  <c r="E20" i="2"/>
  <c r="G20" i="2"/>
  <c r="E9" i="2"/>
  <c r="E8" i="2"/>
  <c r="E7" i="2"/>
  <c r="E6" i="2"/>
  <c r="E5" i="2"/>
  <c r="C34" i="1"/>
  <c r="C21" i="1"/>
  <c r="C12" i="1"/>
  <c r="C13" i="1"/>
  <c r="E15" i="1"/>
  <c r="C5" i="1"/>
  <c r="E8" i="1"/>
  <c r="E10" i="1"/>
  <c r="E17" i="1"/>
  <c r="C22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F7" i="1"/>
  <c r="C6" i="1"/>
  <c r="F8" i="1"/>
  <c r="F10" i="1"/>
  <c r="C14" i="1"/>
  <c r="F15" i="1"/>
  <c r="F17" i="1"/>
  <c r="C39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C36" i="1"/>
  <c r="C37" i="1"/>
  <c r="G8" i="1"/>
  <c r="G15" i="1"/>
  <c r="G10" i="1"/>
  <c r="H8" i="1"/>
  <c r="G17" i="1"/>
  <c r="H15" i="1"/>
  <c r="H10" i="1"/>
  <c r="I8" i="1"/>
  <c r="H17" i="1"/>
  <c r="I15" i="1"/>
  <c r="I10" i="1"/>
  <c r="J8" i="1"/>
  <c r="I17" i="1"/>
  <c r="J15" i="1"/>
  <c r="K8" i="1"/>
  <c r="J10" i="1"/>
  <c r="J17" i="1"/>
  <c r="K15" i="1"/>
  <c r="K10" i="1"/>
  <c r="L8" i="1"/>
  <c r="K17" i="1"/>
  <c r="L15" i="1"/>
  <c r="L10" i="1"/>
  <c r="M8" i="1"/>
  <c r="L17" i="1"/>
  <c r="M15" i="1"/>
  <c r="M10" i="1"/>
  <c r="N8" i="1"/>
  <c r="N15" i="1"/>
  <c r="M17" i="1"/>
  <c r="O8" i="1"/>
  <c r="N10" i="1"/>
  <c r="O15" i="1"/>
  <c r="N17" i="1"/>
  <c r="O10" i="1"/>
  <c r="P8" i="1"/>
  <c r="P15" i="1"/>
  <c r="O17" i="1"/>
  <c r="P10" i="1"/>
  <c r="Q8" i="1"/>
  <c r="Q15" i="1"/>
  <c r="P17" i="1"/>
  <c r="Q10" i="1"/>
  <c r="R8" i="1"/>
  <c r="R15" i="1"/>
  <c r="Q17" i="1"/>
  <c r="S8" i="1"/>
  <c r="R10" i="1"/>
  <c r="S15" i="1"/>
  <c r="R17" i="1"/>
  <c r="S10" i="1"/>
  <c r="T8" i="1"/>
  <c r="T15" i="1"/>
  <c r="S17" i="1"/>
  <c r="T10" i="1"/>
  <c r="U8" i="1"/>
  <c r="U10" i="1"/>
  <c r="U15" i="1"/>
  <c r="U17" i="1"/>
  <c r="T17" i="1"/>
</calcChain>
</file>

<file path=xl/comments1.xml><?xml version="1.0" encoding="utf-8"?>
<comments xmlns="http://schemas.openxmlformats.org/spreadsheetml/2006/main">
  <authors>
    <author>MIR</author>
  </authors>
  <commentList>
    <comment ref="J25" authorId="0">
      <text>
        <r>
          <rPr>
            <b/>
            <sz val="9"/>
            <color indexed="81"/>
            <rFont val="Tahoma"/>
            <charset val="1"/>
          </rPr>
          <t>MIR:</t>
        </r>
        <r>
          <rPr>
            <sz val="9"/>
            <color indexed="81"/>
            <rFont val="Tahoma"/>
            <charset val="1"/>
          </rPr>
          <t xml:space="preserve">
w tys. Ile kWh energii zostanie zużyte do produkcji energii cieplnej, z obliczeń przed inwestycją
</t>
        </r>
      </text>
    </comment>
  </commentList>
</comments>
</file>

<file path=xl/sharedStrings.xml><?xml version="1.0" encoding="utf-8"?>
<sst xmlns="http://schemas.openxmlformats.org/spreadsheetml/2006/main" count="130" uniqueCount="107">
  <si>
    <t>Moc elektrowni</t>
  </si>
  <si>
    <t>Zużycie własne</t>
  </si>
  <si>
    <t>Produkcja roczna kWh</t>
  </si>
  <si>
    <t>Zużycie własne kWh</t>
  </si>
  <si>
    <t>Stawka prąd oszczędność zł</t>
  </si>
  <si>
    <t>Oszczędność rok/zł</t>
  </si>
  <si>
    <t>Prąd wprowadzony do sieci</t>
  </si>
  <si>
    <t>Prąd wprowadzony do sieci kWh</t>
  </si>
  <si>
    <t>Uzysk potrzeby własne w latach (kWh)</t>
  </si>
  <si>
    <t>Uzysk do sieci w latach (kWh)</t>
  </si>
  <si>
    <t>Stawka prąd sprzedany (zł)</t>
  </si>
  <si>
    <t>Przychód rok/zł</t>
  </si>
  <si>
    <t>Spadek roczny wydajności sprzedaż kWh</t>
  </si>
  <si>
    <t>Spadek wydajności roczny oszczędność kWh</t>
  </si>
  <si>
    <t>Koszty serwisu (zł)</t>
  </si>
  <si>
    <t>Termin realizacji</t>
  </si>
  <si>
    <t>Wartość zakupu i dostawy materiałów</t>
  </si>
  <si>
    <t>Wartość prac instalacyjnych</t>
  </si>
  <si>
    <t>VAT</t>
  </si>
  <si>
    <t>niekwalifikowalny</t>
  </si>
  <si>
    <t>Stawka VAT</t>
  </si>
  <si>
    <t>Wysokość dotacji</t>
  </si>
  <si>
    <t>Wartość inwestycji zł - poziom wydatków kwalifikowalnych</t>
  </si>
  <si>
    <t>Poziom finansowania w %</t>
  </si>
  <si>
    <t>netto</t>
  </si>
  <si>
    <t>de minimis</t>
  </si>
  <si>
    <t>moc</t>
  </si>
  <si>
    <t>produkcja kWh (energia cieplna)</t>
  </si>
  <si>
    <t>Ilość energii elektrycznej zużytej</t>
  </si>
  <si>
    <t>Oszczędność</t>
  </si>
  <si>
    <t>Roczna oszczędność energii cieplnej z tytułu montażu pompy</t>
  </si>
  <si>
    <t>07.2017 do 11.2017</t>
  </si>
  <si>
    <t>Założenia do analizy</t>
  </si>
  <si>
    <t>Wskaźnik - elektryczna</t>
  </si>
  <si>
    <t xml:space="preserve">Węgiel kamienny </t>
  </si>
  <si>
    <t>Wskaźnik -cieplna</t>
  </si>
  <si>
    <t>Wartość opałowa</t>
  </si>
  <si>
    <t>kWh</t>
  </si>
  <si>
    <t>MWh</t>
  </si>
  <si>
    <t>Ilość energii elektrycznej zużytej w 2016 roku</t>
  </si>
  <si>
    <t>Szacowany uzysk instalacji pv instalacji PV</t>
  </si>
  <si>
    <t>OPIS:</t>
  </si>
  <si>
    <t>X – energia elektryczna [MWh] pobrana z sieci</t>
  </si>
  <si>
    <t>Mg CO2/MWh</t>
  </si>
  <si>
    <t>X – energia elektryczna [MWh] wyprodukowana przez instalację PV</t>
  </si>
  <si>
    <t>Y – energia elektryczna (z fotowoltaiki oraz pobrana z sieci) [MWh] zużyta przez pompę ciepła</t>
  </si>
  <si>
    <t>Z – energia cieplna [MWh] wyprodukowana przez pompę</t>
  </si>
  <si>
    <t>Szacowany roczny spadek emisji gazów cieplarnianych po realizacji projektu wyniesie = Z * 0,34 Mg/MWh - (Y-X) * 0,812 Mg/MWh</t>
  </si>
  <si>
    <t>Szacowany roczny spadek emisji gazów cieplarnianych (CI 34)</t>
  </si>
  <si>
    <t>Redukcja emisji CO2 w %=</t>
  </si>
  <si>
    <t>/</t>
  </si>
  <si>
    <t>=</t>
  </si>
  <si>
    <t>Ilość energii elektrycznej wykorzystanej do prdukcji ciepła przez grzejnik elektryczny</t>
  </si>
  <si>
    <t>Ilość energii elektrycznej wykorzystanej do projektu ciepła przez pompę ciepła</t>
  </si>
  <si>
    <t>Ilość energii cieplnej wyprodukowanej przez pompę ciepła</t>
  </si>
  <si>
    <t>W budynku będącym przedmiotem projektu znajduje się grzejnik elektryczny, dlatego do wartości bazowej CO2 przyjęto jedynie energię elektryczną.</t>
  </si>
  <si>
    <t>W wyniku realizacji inwestycji zostanie zainstalowana pompa ciepła  oraz instalacja fotowoltaiczna, dlatego do wyliczenie szacowanego spadku CO2 uwzględniono zarówno produkcję energii cieplnej jak i energii elektrycznej z OZE.</t>
  </si>
  <si>
    <t>Emisja bazowa (przed realizacja projektu) =  X  * 0,812 Mg/MWh</t>
  </si>
  <si>
    <t>Planowana inwestycja przyczyni się do redukcji emisji CO2 i szkodliwych związków chemicznych:</t>
  </si>
  <si>
    <t xml:space="preserve">W celu wyliczenia wartości redukcji emisji CO2 do atmosfery nalezy wyliczyć potrzebną do wytworzenia </t>
  </si>
  <si>
    <t>danej ilości energii w wyniku spalania węgla kamiennego:</t>
  </si>
  <si>
    <t xml:space="preserve">- brykiety węgla kamiennego: </t>
  </si>
  <si>
    <t>wartość opałowa – 20,70 MJ/kg</t>
  </si>
  <si>
    <t>B [Mg] = ( (E [MWh] x 3600) / WO [MJ/kg] ) / 1000</t>
  </si>
  <si>
    <t>B [Mg] = ( (</t>
  </si>
  <si>
    <t xml:space="preserve"> [MWh] x 3600) / 20,70 [MJ/kg] ) / 1000</t>
  </si>
  <si>
    <t>B [Mg] =</t>
  </si>
  <si>
    <t>Następnie należy uzyskaną wartość SO2 za pomocą wzoru:</t>
  </si>
  <si>
    <t>B [Mg]*(16000/1000*1)/1000</t>
  </si>
  <si>
    <t xml:space="preserve">SO2 = </t>
  </si>
  <si>
    <t>Wartość pył PM 10 uzyskamy za pomocą wzoru:</t>
  </si>
  <si>
    <t>pył PM 10 = SO2 * 0,92%</t>
  </si>
  <si>
    <t xml:space="preserve">pył PM 10 = </t>
  </si>
  <si>
    <r>
      <rPr>
        <sz val="11"/>
        <color theme="1"/>
        <rFont val="Calibri"/>
        <family val="2"/>
        <scheme val="minor"/>
      </rPr>
      <t xml:space="preserve">Źródło: http://rpo.warmia.mazury.pl/artykul/1766/dzialanie-41-wspieranie-wytwarzania-i-dystrybucji-energii-pochodzacej-ze-zrodel-odnawialnych
Redukcja emisji  została pobrana ze strony RPO Warmia i Mazury i jest zgodna z wytycznymi NFOŚIGW w Olsztynie i Warszawie. Wg tych wytycznych wyliczono  zmniejszenie emisji zanieczyszczeń gazowych tj. m.in. dwutlenku siarki SO2 oraz pyłów zawieszonych PM10. Projekt przyczyni się do osiągnięcia wymóg w zakresie stężeń pyłu zawieszonego na terenach stref lub aglomeracji, zgodnie z Dyrektywą Parlamentu Europejskiego i Rady 2008/50/WE z dnia 21.05.2008. Uzyskane wartości zostały </t>
    </r>
    <r>
      <rPr>
        <b/>
        <sz val="11"/>
        <color theme="1"/>
        <rFont val="Calibri"/>
        <family val="2"/>
        <scheme val="minor"/>
      </rPr>
      <t xml:space="preserve">
</t>
    </r>
  </si>
  <si>
    <t>Zestawienie wszystkich rodzajów związków chemicznych w formie tabeli:</t>
  </si>
  <si>
    <t>rodzaj opał</t>
  </si>
  <si>
    <t>węgiel            ton/rok</t>
  </si>
  <si>
    <t>koks               ton/rok</t>
  </si>
  <si>
    <t>olej                ton/rok</t>
  </si>
  <si>
    <r>
      <t>gaz                    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/rok</t>
    </r>
  </si>
  <si>
    <t>drewno           ton/rok</t>
  </si>
  <si>
    <t>słoma            ton/rok</t>
  </si>
  <si>
    <t>roczne zużycie opału</t>
  </si>
  <si>
    <t>EMISJA (ton/rok)</t>
  </si>
  <si>
    <t>pyły ogólne</t>
  </si>
  <si>
    <r>
      <t>SO</t>
    </r>
    <r>
      <rPr>
        <vertAlign val="subscript"/>
        <sz val="11"/>
        <rFont val="Calibri"/>
        <family val="2"/>
        <scheme val="minor"/>
      </rPr>
      <t>2</t>
    </r>
  </si>
  <si>
    <r>
      <t>NO</t>
    </r>
    <r>
      <rPr>
        <vertAlign val="subscript"/>
        <sz val="11"/>
        <rFont val="Calibri"/>
        <family val="2"/>
        <scheme val="minor"/>
      </rPr>
      <t>x</t>
    </r>
  </si>
  <si>
    <t>CO</t>
  </si>
  <si>
    <r>
      <t>CO</t>
    </r>
    <r>
      <rPr>
        <vertAlign val="subscript"/>
        <sz val="11"/>
        <rFont val="Calibri"/>
        <family val="2"/>
        <scheme val="minor"/>
      </rPr>
      <t>2</t>
    </r>
  </si>
  <si>
    <t>pył PM 2,5</t>
  </si>
  <si>
    <t>pył PM 10</t>
  </si>
  <si>
    <t>benzo[a]piren</t>
  </si>
  <si>
    <t xml:space="preserve">Po wpisaniu w odpowiednie zielone pola rocznego zużycia opału stosowanego przed oraz po modernizacji kotłowni w tabeli pojawią się szacunkowe wartości poszczególnych emisji. </t>
  </si>
  <si>
    <t>wegiel</t>
  </si>
  <si>
    <t xml:space="preserve">kobize </t>
  </si>
  <si>
    <t xml:space="preserve">Zakup pompy ciepła </t>
  </si>
  <si>
    <t>Armatura</t>
  </si>
  <si>
    <t>Projekt geologiczny</t>
  </si>
  <si>
    <t>Wykonanie odwiertów</t>
  </si>
  <si>
    <t>Prace montażowe</t>
  </si>
  <si>
    <t>Projekt hudrauliczny</t>
  </si>
  <si>
    <t>Wartość dofinansowania</t>
  </si>
  <si>
    <t>złotych</t>
  </si>
  <si>
    <t>Moc instalacji (fotowoltaika + pompa ciepła)</t>
  </si>
  <si>
    <t>kW</t>
  </si>
  <si>
    <t>Efektywność kosztowa</t>
  </si>
  <si>
    <t>20 punktów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</si>
</sst>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00"/>
    <numFmt numFmtId="166" formatCode="0.000"/>
    <numFmt numFmtId="167" formatCode="#,##0.000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2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0">
    <xf numFmtId="0" fontId="0" fillId="0" borderId="0" xfId="0"/>
    <xf numFmtId="10" fontId="0" fillId="2" borderId="0" xfId="0" applyNumberFormat="1" applyFill="1"/>
    <xf numFmtId="2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2" borderId="0" xfId="0" applyNumberFormat="1" applyFill="1"/>
    <xf numFmtId="2" fontId="1" fillId="0" borderId="0" xfId="0" applyNumberFormat="1" applyFont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2" fontId="0" fillId="2" borderId="0" xfId="0" applyNumberFormat="1" applyFill="1" applyAlignment="1">
      <alignment horizontal="right"/>
    </xf>
    <xf numFmtId="0" fontId="0" fillId="2" borderId="0" xfId="0" applyNumberFormat="1" applyFill="1"/>
    <xf numFmtId="0" fontId="2" fillId="2" borderId="0" xfId="0" applyNumberFormat="1" applyFont="1" applyFill="1"/>
    <xf numFmtId="0" fontId="0" fillId="0" borderId="0" xfId="0" applyNumberFormat="1" applyAlignment="1">
      <alignment horizontal="right"/>
    </xf>
    <xf numFmtId="0" fontId="3" fillId="0" borderId="0" xfId="0" applyFont="1" applyAlignment="1">
      <alignment vertical="center"/>
    </xf>
    <xf numFmtId="0" fontId="0" fillId="4" borderId="1" xfId="0" applyFill="1" applyBorder="1"/>
    <xf numFmtId="0" fontId="0" fillId="0" borderId="1" xfId="0" applyNumberFormat="1" applyBorder="1"/>
    <xf numFmtId="0" fontId="0" fillId="0" borderId="0" xfId="0" applyNumberFormat="1"/>
    <xf numFmtId="2" fontId="0" fillId="4" borderId="2" xfId="0" applyNumberFormat="1" applyFill="1" applyBorder="1"/>
    <xf numFmtId="0" fontId="0" fillId="4" borderId="2" xfId="0" applyFill="1" applyBorder="1"/>
    <xf numFmtId="2" fontId="0" fillId="2" borderId="1" xfId="0" applyNumberFormat="1" applyFill="1" applyBorder="1" applyAlignment="1">
      <alignment wrapText="1"/>
    </xf>
    <xf numFmtId="2" fontId="0" fillId="4" borderId="1" xfId="0" applyNumberFormat="1" applyFill="1" applyBorder="1"/>
    <xf numFmtId="2" fontId="0" fillId="0" borderId="1" xfId="0" applyNumberFormat="1" applyBorder="1"/>
    <xf numFmtId="0" fontId="0" fillId="4" borderId="1" xfId="0" applyFill="1" applyBorder="1" applyAlignment="1">
      <alignment wrapText="1"/>
    </xf>
    <xf numFmtId="2" fontId="0" fillId="2" borderId="1" xfId="0" applyNumberFormat="1" applyFill="1" applyBorder="1"/>
    <xf numFmtId="0" fontId="0" fillId="0" borderId="0" xfId="0" applyFill="1" applyBorder="1" applyAlignment="1">
      <alignment wrapText="1"/>
    </xf>
    <xf numFmtId="2" fontId="0" fillId="0" borderId="0" xfId="0" applyNumberFormat="1" applyFill="1" applyBorder="1"/>
    <xf numFmtId="0" fontId="0" fillId="0" borderId="0" xfId="0" applyFill="1" applyBorder="1"/>
    <xf numFmtId="2" fontId="0" fillId="0" borderId="0" xfId="0" applyNumberFormat="1" applyFill="1"/>
    <xf numFmtId="2" fontId="0" fillId="0" borderId="1" xfId="0" applyNumberFormat="1" applyFill="1" applyBorder="1"/>
    <xf numFmtId="10" fontId="0" fillId="0" borderId="0" xfId="0" applyNumberFormat="1"/>
    <xf numFmtId="0" fontId="0" fillId="0" borderId="1" xfId="0" applyBorder="1"/>
    <xf numFmtId="0" fontId="4" fillId="0" borderId="0" xfId="0" applyFont="1" applyAlignment="1">
      <alignment vertical="center" wrapText="1"/>
    </xf>
    <xf numFmtId="2" fontId="2" fillId="0" borderId="0" xfId="0" applyNumberFormat="1" applyFont="1"/>
    <xf numFmtId="10" fontId="0" fillId="0" borderId="1" xfId="0" applyNumberFormat="1" applyBorder="1"/>
    <xf numFmtId="0" fontId="0" fillId="0" borderId="0" xfId="0" applyFill="1"/>
    <xf numFmtId="0" fontId="0" fillId="0" borderId="0" xfId="0" applyAlignment="1">
      <alignment horizontal="left" wrapText="1"/>
    </xf>
    <xf numFmtId="0" fontId="3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/>
    <xf numFmtId="0" fontId="6" fillId="0" borderId="0" xfId="0" applyFont="1" applyAlignment="1"/>
    <xf numFmtId="2" fontId="7" fillId="0" borderId="0" xfId="0" applyNumberFormat="1" applyFont="1" applyAlignment="1"/>
    <xf numFmtId="0" fontId="8" fillId="0" borderId="0" xfId="0" applyFont="1" applyAlignment="1"/>
    <xf numFmtId="2" fontId="8" fillId="0" borderId="0" xfId="0" applyNumberFormat="1" applyFont="1" applyAlignme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8" fillId="0" borderId="0" xfId="0" applyFont="1"/>
    <xf numFmtId="0" fontId="9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165" fontId="8" fillId="0" borderId="1" xfId="0" applyNumberFormat="1" applyFont="1" applyBorder="1"/>
    <xf numFmtId="166" fontId="8" fillId="0" borderId="1" xfId="0" applyNumberFormat="1" applyFont="1" applyBorder="1"/>
    <xf numFmtId="2" fontId="6" fillId="2" borderId="0" xfId="0" applyNumberFormat="1" applyFont="1" applyFill="1"/>
    <xf numFmtId="0" fontId="6" fillId="0" borderId="0" xfId="0" applyFont="1" applyBorder="1"/>
    <xf numFmtId="165" fontId="6" fillId="0" borderId="0" xfId="0" applyNumberFormat="1" applyFont="1"/>
    <xf numFmtId="0" fontId="7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vertical="center"/>
    </xf>
    <xf numFmtId="167" fontId="8" fillId="0" borderId="1" xfId="0" applyNumberFormat="1" applyFont="1" applyBorder="1" applyAlignment="1">
      <alignment vertical="center"/>
    </xf>
    <xf numFmtId="167" fontId="12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wrapText="1"/>
    </xf>
    <xf numFmtId="165" fontId="12" fillId="0" borderId="0" xfId="0" applyNumberFormat="1" applyFont="1" applyBorder="1"/>
    <xf numFmtId="0" fontId="14" fillId="0" borderId="0" xfId="0" applyFont="1" applyBorder="1" applyAlignment="1">
      <alignment horizontal="left" vertical="center" wrapText="1"/>
    </xf>
    <xf numFmtId="164" fontId="6" fillId="0" borderId="0" xfId="0" applyNumberFormat="1" applyFont="1"/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9" fontId="5" fillId="0" borderId="0" xfId="1" applyFill="1" applyBorder="1" applyAlignment="1" applyProtection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9"/>
  <sheetViews>
    <sheetView topLeftCell="A16" workbookViewId="0">
      <selection activeCell="C34" sqref="C34"/>
    </sheetView>
  </sheetViews>
  <sheetFormatPr defaultRowHeight="14.4" x14ac:dyDescent="0.3"/>
  <cols>
    <col min="2" max="2" width="32.44140625" customWidth="1"/>
    <col min="3" max="3" width="18.44140625" style="2" customWidth="1"/>
    <col min="4" max="4" width="12.44140625" style="3" customWidth="1"/>
    <col min="5" max="21" width="8.88671875" style="4"/>
  </cols>
  <sheetData>
    <row r="2" spans="1:21" x14ac:dyDescent="0.3">
      <c r="A2" t="s">
        <v>0</v>
      </c>
      <c r="C2" s="6">
        <v>39.44</v>
      </c>
    </row>
    <row r="3" spans="1:21" x14ac:dyDescent="0.3">
      <c r="A3" t="s">
        <v>2</v>
      </c>
      <c r="C3" s="6">
        <v>36840</v>
      </c>
    </row>
    <row r="4" spans="1:21" x14ac:dyDescent="0.3">
      <c r="A4" t="s">
        <v>1</v>
      </c>
      <c r="C4" s="1">
        <v>0.7</v>
      </c>
    </row>
    <row r="5" spans="1:21" x14ac:dyDescent="0.3">
      <c r="A5" t="s">
        <v>3</v>
      </c>
      <c r="C5" s="2">
        <f>C3*C4</f>
        <v>25788</v>
      </c>
    </row>
    <row r="6" spans="1:21" x14ac:dyDescent="0.3">
      <c r="A6" t="s">
        <v>13</v>
      </c>
      <c r="C6" s="2">
        <f>C5*0.01</f>
        <v>257.88</v>
      </c>
    </row>
    <row r="7" spans="1:21" x14ac:dyDescent="0.3">
      <c r="E7" s="7">
        <v>2017</v>
      </c>
      <c r="F7" s="7">
        <f>E7+1</f>
        <v>2018</v>
      </c>
      <c r="G7" s="7">
        <f t="shared" ref="G7:U7" si="0">F7+1</f>
        <v>2019</v>
      </c>
      <c r="H7" s="7">
        <f t="shared" si="0"/>
        <v>2020</v>
      </c>
      <c r="I7" s="7">
        <f t="shared" si="0"/>
        <v>2021</v>
      </c>
      <c r="J7" s="7">
        <f t="shared" si="0"/>
        <v>2022</v>
      </c>
      <c r="K7" s="7">
        <f t="shared" si="0"/>
        <v>2023</v>
      </c>
      <c r="L7" s="7">
        <f t="shared" si="0"/>
        <v>2024</v>
      </c>
      <c r="M7" s="7">
        <f t="shared" si="0"/>
        <v>2025</v>
      </c>
      <c r="N7" s="7">
        <f t="shared" si="0"/>
        <v>2026</v>
      </c>
      <c r="O7" s="7">
        <f t="shared" si="0"/>
        <v>2027</v>
      </c>
      <c r="P7" s="7">
        <f t="shared" si="0"/>
        <v>2028</v>
      </c>
      <c r="Q7" s="7">
        <f t="shared" si="0"/>
        <v>2029</v>
      </c>
      <c r="R7" s="7">
        <f t="shared" si="0"/>
        <v>2030</v>
      </c>
      <c r="S7" s="7">
        <f t="shared" si="0"/>
        <v>2031</v>
      </c>
      <c r="T7" s="7">
        <f t="shared" si="0"/>
        <v>2032</v>
      </c>
      <c r="U7" s="7">
        <f t="shared" si="0"/>
        <v>2033</v>
      </c>
    </row>
    <row r="8" spans="1:21" x14ac:dyDescent="0.3">
      <c r="A8" t="s">
        <v>8</v>
      </c>
      <c r="E8" s="4">
        <f>C5/20</f>
        <v>1289.4000000000001</v>
      </c>
      <c r="F8" s="4">
        <f>C5-C6</f>
        <v>25530.12</v>
      </c>
      <c r="G8" s="4">
        <f>F8-C6</f>
        <v>25272.239999999998</v>
      </c>
      <c r="H8" s="4">
        <f>G8-C6</f>
        <v>25014.359999999997</v>
      </c>
      <c r="I8" s="4">
        <f>H8-C6</f>
        <v>24756.479999999996</v>
      </c>
      <c r="J8" s="4">
        <f>I8-C6</f>
        <v>24498.599999999995</v>
      </c>
      <c r="K8" s="4">
        <f>J8-C6</f>
        <v>24240.719999999994</v>
      </c>
      <c r="L8" s="4">
        <f>K8-C6</f>
        <v>23982.839999999993</v>
      </c>
      <c r="M8" s="4">
        <f>L8-C6</f>
        <v>23724.959999999992</v>
      </c>
      <c r="N8" s="4">
        <f>M8-C6</f>
        <v>23467.079999999991</v>
      </c>
      <c r="O8" s="4">
        <f>N8-C6</f>
        <v>23209.19999999999</v>
      </c>
      <c r="P8" s="4">
        <f>O8-C6</f>
        <v>22951.319999999989</v>
      </c>
      <c r="Q8" s="4">
        <f>P8-C6</f>
        <v>22693.439999999988</v>
      </c>
      <c r="R8" s="4">
        <f>Q8-C6</f>
        <v>22435.559999999987</v>
      </c>
      <c r="S8" s="4">
        <f>R8-C6</f>
        <v>22177.679999999986</v>
      </c>
      <c r="T8" s="4">
        <f>S8-C6</f>
        <v>21919.799999999985</v>
      </c>
      <c r="U8" s="4">
        <f>T8-C6</f>
        <v>21661.919999999984</v>
      </c>
    </row>
    <row r="9" spans="1:21" x14ac:dyDescent="0.3">
      <c r="A9" t="s">
        <v>4</v>
      </c>
      <c r="E9" s="4">
        <v>0.5</v>
      </c>
      <c r="F9" s="4">
        <v>0.5</v>
      </c>
      <c r="G9" s="4">
        <v>0.5</v>
      </c>
      <c r="H9" s="4">
        <v>0.5</v>
      </c>
      <c r="I9" s="4">
        <v>0.5</v>
      </c>
      <c r="J9" s="4">
        <v>0.5</v>
      </c>
      <c r="K9" s="4">
        <v>0.5</v>
      </c>
      <c r="L9" s="4">
        <v>0.5</v>
      </c>
      <c r="M9" s="4">
        <v>0.5</v>
      </c>
      <c r="N9" s="4">
        <v>0.5</v>
      </c>
      <c r="O9" s="4">
        <v>0.5</v>
      </c>
      <c r="P9" s="4">
        <v>0.5</v>
      </c>
      <c r="Q9" s="4">
        <v>0.5</v>
      </c>
      <c r="R9" s="4">
        <v>0.5</v>
      </c>
      <c r="S9" s="4">
        <v>0.5</v>
      </c>
      <c r="T9" s="4">
        <v>0.5</v>
      </c>
      <c r="U9" s="4">
        <v>0.5</v>
      </c>
    </row>
    <row r="10" spans="1:21" x14ac:dyDescent="0.3">
      <c r="A10" t="s">
        <v>5</v>
      </c>
      <c r="E10" s="5">
        <f>E8*E9</f>
        <v>644.70000000000005</v>
      </c>
      <c r="F10" s="5">
        <f t="shared" ref="F10:U10" si="1">F8*F9</f>
        <v>12765.06</v>
      </c>
      <c r="G10" s="5">
        <f t="shared" si="1"/>
        <v>12636.119999999999</v>
      </c>
      <c r="H10" s="5">
        <f t="shared" si="1"/>
        <v>12507.179999999998</v>
      </c>
      <c r="I10" s="5">
        <f t="shared" si="1"/>
        <v>12378.239999999998</v>
      </c>
      <c r="J10" s="5">
        <f t="shared" si="1"/>
        <v>12249.299999999997</v>
      </c>
      <c r="K10" s="5">
        <f t="shared" si="1"/>
        <v>12120.359999999997</v>
      </c>
      <c r="L10" s="5">
        <f t="shared" si="1"/>
        <v>11991.419999999996</v>
      </c>
      <c r="M10" s="5">
        <f t="shared" si="1"/>
        <v>11862.479999999996</v>
      </c>
      <c r="N10" s="5">
        <f t="shared" si="1"/>
        <v>11733.539999999995</v>
      </c>
      <c r="O10" s="5">
        <f t="shared" si="1"/>
        <v>11604.599999999995</v>
      </c>
      <c r="P10" s="5">
        <f t="shared" si="1"/>
        <v>11475.659999999994</v>
      </c>
      <c r="Q10" s="5">
        <f t="shared" si="1"/>
        <v>11346.719999999994</v>
      </c>
      <c r="R10" s="5">
        <f t="shared" si="1"/>
        <v>11217.779999999993</v>
      </c>
      <c r="S10" s="5">
        <f t="shared" si="1"/>
        <v>11088.839999999993</v>
      </c>
      <c r="T10" s="5">
        <f t="shared" si="1"/>
        <v>10959.899999999992</v>
      </c>
      <c r="U10" s="5">
        <f t="shared" si="1"/>
        <v>10830.959999999992</v>
      </c>
    </row>
    <row r="12" spans="1:21" x14ac:dyDescent="0.3">
      <c r="A12" t="s">
        <v>6</v>
      </c>
      <c r="C12" s="1">
        <f>100%-C4</f>
        <v>0.30000000000000004</v>
      </c>
    </row>
    <row r="13" spans="1:21" x14ac:dyDescent="0.3">
      <c r="A13" t="s">
        <v>7</v>
      </c>
      <c r="C13" s="2">
        <f>C3*C12</f>
        <v>11052.000000000002</v>
      </c>
    </row>
    <row r="14" spans="1:21" x14ac:dyDescent="0.3">
      <c r="A14" t="s">
        <v>12</v>
      </c>
      <c r="C14" s="2">
        <f>C13*0.01</f>
        <v>110.52000000000002</v>
      </c>
      <c r="E14" s="7">
        <v>2017</v>
      </c>
      <c r="F14" s="7">
        <f>E14+1</f>
        <v>2018</v>
      </c>
      <c r="G14" s="7">
        <f t="shared" ref="G14" si="2">F14+1</f>
        <v>2019</v>
      </c>
      <c r="H14" s="7">
        <f t="shared" ref="H14" si="3">G14+1</f>
        <v>2020</v>
      </c>
      <c r="I14" s="7">
        <f t="shared" ref="I14" si="4">H14+1</f>
        <v>2021</v>
      </c>
      <c r="J14" s="7">
        <f t="shared" ref="J14" si="5">I14+1</f>
        <v>2022</v>
      </c>
      <c r="K14" s="7">
        <f t="shared" ref="K14" si="6">J14+1</f>
        <v>2023</v>
      </c>
      <c r="L14" s="7">
        <f t="shared" ref="L14" si="7">K14+1</f>
        <v>2024</v>
      </c>
      <c r="M14" s="7">
        <f t="shared" ref="M14" si="8">L14+1</f>
        <v>2025</v>
      </c>
      <c r="N14" s="7">
        <f t="shared" ref="N14" si="9">M14+1</f>
        <v>2026</v>
      </c>
      <c r="O14" s="7">
        <f t="shared" ref="O14" si="10">N14+1</f>
        <v>2027</v>
      </c>
      <c r="P14" s="7">
        <f t="shared" ref="P14" si="11">O14+1</f>
        <v>2028</v>
      </c>
      <c r="Q14" s="7">
        <f t="shared" ref="Q14" si="12">P14+1</f>
        <v>2029</v>
      </c>
      <c r="R14" s="7">
        <f t="shared" ref="R14" si="13">Q14+1</f>
        <v>2030</v>
      </c>
      <c r="S14" s="7">
        <f t="shared" ref="S14" si="14">R14+1</f>
        <v>2031</v>
      </c>
      <c r="T14" s="7">
        <f t="shared" ref="T14" si="15">S14+1</f>
        <v>2032</v>
      </c>
      <c r="U14" s="7">
        <f t="shared" ref="U14" si="16">T14+1</f>
        <v>2033</v>
      </c>
    </row>
    <row r="15" spans="1:21" x14ac:dyDescent="0.3">
      <c r="A15" t="s">
        <v>9</v>
      </c>
      <c r="E15" s="4">
        <f>C13/20</f>
        <v>552.60000000000014</v>
      </c>
      <c r="F15" s="4">
        <f>C13-C14</f>
        <v>10941.480000000001</v>
      </c>
      <c r="G15" s="4">
        <f>F15-C14</f>
        <v>10830.960000000001</v>
      </c>
      <c r="H15" s="4">
        <f>G15-C14</f>
        <v>10720.44</v>
      </c>
      <c r="I15" s="4">
        <f>H15-C14</f>
        <v>10609.92</v>
      </c>
      <c r="J15" s="4">
        <f>I15-C14</f>
        <v>10499.4</v>
      </c>
      <c r="K15" s="4">
        <f>J15-C14</f>
        <v>10388.879999999999</v>
      </c>
      <c r="L15" s="4">
        <f>K15-C14</f>
        <v>10278.359999999999</v>
      </c>
      <c r="M15" s="4">
        <f>L15-C14</f>
        <v>10167.839999999998</v>
      </c>
      <c r="N15" s="4">
        <f>M15-C14</f>
        <v>10057.319999999998</v>
      </c>
      <c r="O15" s="4">
        <f>N15-C14</f>
        <v>9946.7999999999975</v>
      </c>
      <c r="P15" s="4">
        <f>O15-C14</f>
        <v>9836.279999999997</v>
      </c>
      <c r="Q15" s="4">
        <f>P15-C14</f>
        <v>9725.7599999999966</v>
      </c>
      <c r="R15" s="4">
        <f>Q15-C14</f>
        <v>9615.2399999999961</v>
      </c>
      <c r="S15" s="4">
        <f>R15-C14</f>
        <v>9504.7199999999957</v>
      </c>
      <c r="T15" s="4">
        <f>S15-C14</f>
        <v>9394.1999999999953</v>
      </c>
      <c r="U15" s="4">
        <f>T15-C14</f>
        <v>9283.6799999999948</v>
      </c>
    </row>
    <row r="16" spans="1:21" x14ac:dyDescent="0.3">
      <c r="A16" t="s">
        <v>10</v>
      </c>
      <c r="E16" s="4">
        <v>0.17</v>
      </c>
      <c r="F16" s="4">
        <v>0.17</v>
      </c>
      <c r="G16" s="4">
        <v>0.17</v>
      </c>
      <c r="H16" s="4">
        <v>0.17</v>
      </c>
      <c r="I16" s="4">
        <v>0.17</v>
      </c>
      <c r="J16" s="4">
        <v>0.17</v>
      </c>
      <c r="K16" s="4">
        <v>0.17</v>
      </c>
      <c r="L16" s="4">
        <v>0.17</v>
      </c>
      <c r="M16" s="4">
        <v>0.17</v>
      </c>
      <c r="N16" s="4">
        <v>0.17</v>
      </c>
      <c r="O16" s="4">
        <v>0.17</v>
      </c>
      <c r="P16" s="4">
        <v>0.17</v>
      </c>
      <c r="Q16" s="4">
        <v>0.17</v>
      </c>
      <c r="R16" s="4">
        <v>0.17</v>
      </c>
      <c r="S16" s="4">
        <v>0.17</v>
      </c>
      <c r="T16" s="4">
        <v>0.17</v>
      </c>
      <c r="U16" s="4">
        <v>0.17</v>
      </c>
    </row>
    <row r="17" spans="1:21" x14ac:dyDescent="0.3">
      <c r="A17" t="s">
        <v>11</v>
      </c>
      <c r="E17" s="5">
        <f>E15*E16</f>
        <v>93.942000000000036</v>
      </c>
      <c r="F17" s="5">
        <f t="shared" ref="F17:U17" si="17">F15*F16</f>
        <v>1860.0516000000005</v>
      </c>
      <c r="G17" s="5">
        <f t="shared" si="17"/>
        <v>1841.2632000000003</v>
      </c>
      <c r="H17" s="5">
        <f t="shared" si="17"/>
        <v>1822.4748000000002</v>
      </c>
      <c r="I17" s="5">
        <f t="shared" si="17"/>
        <v>1803.6864</v>
      </c>
      <c r="J17" s="5">
        <f t="shared" si="17"/>
        <v>1784.8980000000001</v>
      </c>
      <c r="K17" s="5">
        <f t="shared" si="17"/>
        <v>1766.1096</v>
      </c>
      <c r="L17" s="5">
        <f t="shared" si="17"/>
        <v>1747.3211999999999</v>
      </c>
      <c r="M17" s="5">
        <f t="shared" si="17"/>
        <v>1728.5328</v>
      </c>
      <c r="N17" s="5">
        <f t="shared" si="17"/>
        <v>1709.7443999999998</v>
      </c>
      <c r="O17" s="5">
        <f t="shared" si="17"/>
        <v>1690.9559999999997</v>
      </c>
      <c r="P17" s="5">
        <f t="shared" si="17"/>
        <v>1672.1675999999995</v>
      </c>
      <c r="Q17" s="5">
        <f t="shared" si="17"/>
        <v>1653.3791999999996</v>
      </c>
      <c r="R17" s="5">
        <f t="shared" si="17"/>
        <v>1634.5907999999995</v>
      </c>
      <c r="S17" s="5">
        <f t="shared" si="17"/>
        <v>1615.8023999999994</v>
      </c>
      <c r="T17" s="5">
        <f t="shared" si="17"/>
        <v>1597.0139999999992</v>
      </c>
      <c r="U17" s="5">
        <f t="shared" si="17"/>
        <v>1578.2255999999993</v>
      </c>
    </row>
    <row r="19" spans="1:21" x14ac:dyDescent="0.3">
      <c r="A19" t="s">
        <v>26</v>
      </c>
      <c r="C19" s="14">
        <v>4.3</v>
      </c>
      <c r="D19"/>
    </row>
    <row r="20" spans="1:21" x14ac:dyDescent="0.3">
      <c r="A20" t="s">
        <v>27</v>
      </c>
      <c r="C20" s="9">
        <v>10320</v>
      </c>
      <c r="D20"/>
    </row>
    <row r="21" spans="1:21" x14ac:dyDescent="0.3">
      <c r="A21" t="s">
        <v>28</v>
      </c>
      <c r="C21" s="9">
        <f>C20/3.7</f>
        <v>2789.1891891891892</v>
      </c>
      <c r="D21"/>
    </row>
    <row r="22" spans="1:21" x14ac:dyDescent="0.3">
      <c r="A22" t="s">
        <v>29</v>
      </c>
      <c r="C22" s="9">
        <f>C20-C21</f>
        <v>7530.8108108108108</v>
      </c>
      <c r="D22"/>
    </row>
    <row r="23" spans="1:21" x14ac:dyDescent="0.3">
      <c r="A23" t="s">
        <v>4</v>
      </c>
      <c r="C23" s="4"/>
      <c r="D23"/>
      <c r="E23" s="4">
        <v>0.5</v>
      </c>
      <c r="F23" s="4">
        <v>0.5</v>
      </c>
      <c r="G23" s="4">
        <v>0.5</v>
      </c>
      <c r="H23" s="4">
        <v>0.5</v>
      </c>
      <c r="I23" s="4">
        <v>0.5</v>
      </c>
      <c r="J23" s="4">
        <v>0.5</v>
      </c>
      <c r="K23" s="4">
        <v>0.5</v>
      </c>
      <c r="L23" s="4">
        <v>0.5</v>
      </c>
      <c r="M23" s="4">
        <v>0.5</v>
      </c>
      <c r="N23" s="4">
        <v>0.5</v>
      </c>
      <c r="O23" s="4">
        <v>0.5</v>
      </c>
      <c r="P23" s="4">
        <v>0.5</v>
      </c>
      <c r="Q23" s="4">
        <v>0.5</v>
      </c>
      <c r="R23" s="4">
        <v>0.5</v>
      </c>
      <c r="S23" s="4">
        <v>0.5</v>
      </c>
      <c r="T23" s="4">
        <v>0.5</v>
      </c>
      <c r="U23" s="4">
        <v>0.5</v>
      </c>
    </row>
    <row r="24" spans="1:21" s="3" customFormat="1" ht="44.4" customHeight="1" x14ac:dyDescent="0.3">
      <c r="A24" s="37" t="s">
        <v>30</v>
      </c>
      <c r="B24" s="37"/>
      <c r="C24" s="10"/>
      <c r="E24" s="5">
        <f>C22*E23/20</f>
        <v>188.27027027027026</v>
      </c>
      <c r="F24" s="5">
        <f>C22*F23</f>
        <v>3765.4054054054054</v>
      </c>
      <c r="G24" s="5">
        <f>F24</f>
        <v>3765.4054054054054</v>
      </c>
      <c r="H24" s="5">
        <f t="shared" ref="H24:U24" si="18">G24</f>
        <v>3765.4054054054054</v>
      </c>
      <c r="I24" s="5">
        <f t="shared" si="18"/>
        <v>3765.4054054054054</v>
      </c>
      <c r="J24" s="5">
        <f t="shared" si="18"/>
        <v>3765.4054054054054</v>
      </c>
      <c r="K24" s="5">
        <f t="shared" si="18"/>
        <v>3765.4054054054054</v>
      </c>
      <c r="L24" s="5">
        <f t="shared" si="18"/>
        <v>3765.4054054054054</v>
      </c>
      <c r="M24" s="5">
        <f t="shared" si="18"/>
        <v>3765.4054054054054</v>
      </c>
      <c r="N24" s="5">
        <f t="shared" si="18"/>
        <v>3765.4054054054054</v>
      </c>
      <c r="O24" s="5">
        <f t="shared" si="18"/>
        <v>3765.4054054054054</v>
      </c>
      <c r="P24" s="5">
        <f t="shared" si="18"/>
        <v>3765.4054054054054</v>
      </c>
      <c r="Q24" s="5">
        <f t="shared" si="18"/>
        <v>3765.4054054054054</v>
      </c>
      <c r="R24" s="5">
        <f t="shared" si="18"/>
        <v>3765.4054054054054</v>
      </c>
      <c r="S24" s="5">
        <f t="shared" si="18"/>
        <v>3765.4054054054054</v>
      </c>
      <c r="T24" s="5">
        <f t="shared" si="18"/>
        <v>3765.4054054054054</v>
      </c>
      <c r="U24" s="5">
        <f t="shared" si="18"/>
        <v>3765.4054054054054</v>
      </c>
    </row>
    <row r="27" spans="1:21" x14ac:dyDescent="0.3">
      <c r="A27" t="s">
        <v>14</v>
      </c>
      <c r="C27" s="2">
        <v>1200</v>
      </c>
      <c r="E27" s="7">
        <v>2017</v>
      </c>
      <c r="F27" s="7">
        <f>E27+1</f>
        <v>2018</v>
      </c>
      <c r="G27" s="7">
        <f t="shared" ref="G27" si="19">F27+1</f>
        <v>2019</v>
      </c>
      <c r="H27" s="7">
        <f t="shared" ref="H27" si="20">G27+1</f>
        <v>2020</v>
      </c>
      <c r="I27" s="7">
        <f t="shared" ref="I27" si="21">H27+1</f>
        <v>2021</v>
      </c>
      <c r="J27" s="7">
        <f t="shared" ref="J27" si="22">I27+1</f>
        <v>2022</v>
      </c>
      <c r="K27" s="7">
        <f t="shared" ref="K27" si="23">J27+1</f>
        <v>2023</v>
      </c>
      <c r="L27" s="7">
        <f t="shared" ref="L27" si="24">K27+1</f>
        <v>2024</v>
      </c>
      <c r="M27" s="7">
        <f t="shared" ref="M27" si="25">L27+1</f>
        <v>2025</v>
      </c>
      <c r="N27" s="7">
        <f t="shared" ref="N27" si="26">M27+1</f>
        <v>2026</v>
      </c>
      <c r="O27" s="7">
        <f t="shared" ref="O27" si="27">N27+1</f>
        <v>2027</v>
      </c>
      <c r="P27" s="7">
        <f t="shared" ref="P27" si="28">O27+1</f>
        <v>2028</v>
      </c>
      <c r="Q27" s="7">
        <f t="shared" ref="Q27" si="29">P27+1</f>
        <v>2029</v>
      </c>
      <c r="R27" s="7">
        <f t="shared" ref="R27" si="30">Q27+1</f>
        <v>2030</v>
      </c>
      <c r="S27" s="7">
        <f t="shared" ref="S27" si="31">R27+1</f>
        <v>2031</v>
      </c>
      <c r="T27" s="7">
        <f t="shared" ref="T27" si="32">S27+1</f>
        <v>2032</v>
      </c>
      <c r="U27" s="7">
        <f t="shared" ref="U27" si="33">T27+1</f>
        <v>2033</v>
      </c>
    </row>
    <row r="28" spans="1:21" x14ac:dyDescent="0.3">
      <c r="E28" s="8">
        <v>0</v>
      </c>
      <c r="F28" s="8">
        <v>1200</v>
      </c>
      <c r="G28" s="8">
        <f t="shared" ref="G28:U28" si="34">F28</f>
        <v>1200</v>
      </c>
      <c r="H28" s="8">
        <f t="shared" si="34"/>
        <v>1200</v>
      </c>
      <c r="I28" s="8">
        <f t="shared" si="34"/>
        <v>1200</v>
      </c>
      <c r="J28" s="8">
        <f t="shared" si="34"/>
        <v>1200</v>
      </c>
      <c r="K28" s="8">
        <f t="shared" si="34"/>
        <v>1200</v>
      </c>
      <c r="L28" s="8">
        <f t="shared" si="34"/>
        <v>1200</v>
      </c>
      <c r="M28" s="8">
        <f t="shared" si="34"/>
        <v>1200</v>
      </c>
      <c r="N28" s="8">
        <f t="shared" si="34"/>
        <v>1200</v>
      </c>
      <c r="O28" s="8">
        <f t="shared" si="34"/>
        <v>1200</v>
      </c>
      <c r="P28" s="8">
        <f t="shared" si="34"/>
        <v>1200</v>
      </c>
      <c r="Q28" s="8">
        <f t="shared" si="34"/>
        <v>1200</v>
      </c>
      <c r="R28" s="8">
        <f t="shared" si="34"/>
        <v>1200</v>
      </c>
      <c r="S28" s="8">
        <f t="shared" si="34"/>
        <v>1200</v>
      </c>
      <c r="T28" s="8">
        <f t="shared" si="34"/>
        <v>1200</v>
      </c>
      <c r="U28" s="8">
        <f t="shared" si="34"/>
        <v>1200</v>
      </c>
    </row>
    <row r="30" spans="1:21" x14ac:dyDescent="0.3">
      <c r="A30" t="s">
        <v>15</v>
      </c>
      <c r="C30" s="11" t="s">
        <v>31</v>
      </c>
    </row>
    <row r="32" spans="1:21" x14ac:dyDescent="0.3">
      <c r="A32" t="s">
        <v>18</v>
      </c>
      <c r="C32" s="11" t="s">
        <v>19</v>
      </c>
    </row>
    <row r="33" spans="1:4" x14ac:dyDescent="0.3">
      <c r="A33" t="s">
        <v>20</v>
      </c>
      <c r="C33" s="12">
        <v>23</v>
      </c>
    </row>
    <row r="34" spans="1:4" ht="29.25" customHeight="1" x14ac:dyDescent="0.3">
      <c r="A34" s="37" t="s">
        <v>22</v>
      </c>
      <c r="B34" s="37"/>
      <c r="C34" s="6">
        <f>210000+17000</f>
        <v>227000</v>
      </c>
    </row>
    <row r="36" spans="1:4" x14ac:dyDescent="0.3">
      <c r="A36" t="s">
        <v>16</v>
      </c>
      <c r="C36" s="2">
        <f>C34*0.8</f>
        <v>181600</v>
      </c>
      <c r="D36" s="3" t="s">
        <v>24</v>
      </c>
    </row>
    <row r="37" spans="1:4" x14ac:dyDescent="0.3">
      <c r="A37" t="s">
        <v>17</v>
      </c>
      <c r="C37" s="2">
        <f>C34-C36</f>
        <v>45400</v>
      </c>
      <c r="D37" s="3" t="s">
        <v>24</v>
      </c>
    </row>
    <row r="38" spans="1:4" x14ac:dyDescent="0.3">
      <c r="A38" t="s">
        <v>23</v>
      </c>
      <c r="C38" s="13">
        <v>65</v>
      </c>
      <c r="D38" s="3" t="s">
        <v>25</v>
      </c>
    </row>
    <row r="39" spans="1:4" x14ac:dyDescent="0.3">
      <c r="A39" t="s">
        <v>21</v>
      </c>
      <c r="C39" s="6">
        <f>C34*C38%</f>
        <v>147550</v>
      </c>
    </row>
  </sheetData>
  <mergeCells count="2">
    <mergeCell ref="A34:B34"/>
    <mergeCell ref="A24:B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B13" sqref="B13"/>
    </sheetView>
  </sheetViews>
  <sheetFormatPr defaultRowHeight="14.4" x14ac:dyDescent="0.3"/>
  <cols>
    <col min="2" max="2" width="58.5546875" customWidth="1"/>
    <col min="3" max="3" width="10.88671875" style="2" customWidth="1"/>
    <col min="4" max="4" width="9.44140625" style="2" customWidth="1"/>
    <col min="5" max="5" width="8.6640625" customWidth="1"/>
    <col min="8" max="8" width="8.109375" style="2" customWidth="1"/>
    <col min="10" max="10" width="5.109375" customWidth="1"/>
    <col min="13" max="13" width="18.33203125" customWidth="1"/>
  </cols>
  <sheetData>
    <row r="1" spans="1:14" x14ac:dyDescent="0.3">
      <c r="B1" s="15" t="s">
        <v>32</v>
      </c>
    </row>
    <row r="2" spans="1:14" x14ac:dyDescent="0.3">
      <c r="B2" s="16" t="s">
        <v>33</v>
      </c>
      <c r="C2" s="17">
        <v>0.81200000000000006</v>
      </c>
      <c r="D2" s="18"/>
      <c r="M2" t="s">
        <v>34</v>
      </c>
      <c r="N2">
        <v>20.7</v>
      </c>
    </row>
    <row r="3" spans="1:14" x14ac:dyDescent="0.3">
      <c r="B3" s="16" t="s">
        <v>35</v>
      </c>
      <c r="C3" s="17">
        <v>0.34</v>
      </c>
      <c r="D3" s="18"/>
      <c r="M3" t="s">
        <v>36</v>
      </c>
      <c r="N3">
        <v>97.5</v>
      </c>
    </row>
    <row r="4" spans="1:14" x14ac:dyDescent="0.3">
      <c r="C4" s="19" t="s">
        <v>37</v>
      </c>
      <c r="E4" s="20" t="s">
        <v>38</v>
      </c>
    </row>
    <row r="5" spans="1:14" x14ac:dyDescent="0.3">
      <c r="B5" s="16" t="s">
        <v>39</v>
      </c>
      <c r="C5" s="21">
        <v>91814</v>
      </c>
      <c r="D5" s="22" t="s">
        <v>37</v>
      </c>
      <c r="E5" s="23">
        <f>C5/1000</f>
        <v>91.813999999999993</v>
      </c>
      <c r="F5" s="16" t="s">
        <v>38</v>
      </c>
    </row>
    <row r="6" spans="1:14" ht="28.8" x14ac:dyDescent="0.3">
      <c r="B6" s="24" t="s">
        <v>52</v>
      </c>
      <c r="C6" s="25">
        <f>Arkusz1!C20</f>
        <v>10320</v>
      </c>
      <c r="D6" s="22" t="s">
        <v>37</v>
      </c>
      <c r="E6" s="23">
        <f>C6/1000</f>
        <v>10.32</v>
      </c>
      <c r="F6" s="16" t="s">
        <v>38</v>
      </c>
    </row>
    <row r="7" spans="1:14" x14ac:dyDescent="0.3">
      <c r="B7" s="16" t="s">
        <v>40</v>
      </c>
      <c r="C7" s="25">
        <f>Arkusz1!C3</f>
        <v>36840</v>
      </c>
      <c r="D7" s="22" t="s">
        <v>37</v>
      </c>
      <c r="E7" s="23">
        <f>C7/1000</f>
        <v>36.840000000000003</v>
      </c>
      <c r="F7" s="16" t="s">
        <v>38</v>
      </c>
    </row>
    <row r="8" spans="1:14" ht="28.8" x14ac:dyDescent="0.3">
      <c r="B8" s="24" t="s">
        <v>53</v>
      </c>
      <c r="C8" s="25">
        <f>Arkusz1!C21</f>
        <v>2789.1891891891892</v>
      </c>
      <c r="D8" s="22" t="s">
        <v>37</v>
      </c>
      <c r="E8" s="23">
        <f>C8/1000</f>
        <v>2.7891891891891891</v>
      </c>
      <c r="F8" s="16" t="s">
        <v>38</v>
      </c>
    </row>
    <row r="9" spans="1:14" x14ac:dyDescent="0.3">
      <c r="B9" s="24" t="s">
        <v>54</v>
      </c>
      <c r="C9" s="25">
        <f>kalkulacja!C6</f>
        <v>10320</v>
      </c>
      <c r="D9" s="22" t="s">
        <v>37</v>
      </c>
      <c r="E9" s="23">
        <f>C9/1000</f>
        <v>10.32</v>
      </c>
      <c r="F9" s="16" t="s">
        <v>38</v>
      </c>
    </row>
    <row r="10" spans="1:14" x14ac:dyDescent="0.3">
      <c r="B10" s="26"/>
      <c r="C10" s="27"/>
      <c r="D10" s="27"/>
      <c r="E10" s="28"/>
      <c r="F10" s="28"/>
    </row>
    <row r="11" spans="1:14" ht="43.2" x14ac:dyDescent="0.3">
      <c r="A11" t="s">
        <v>41</v>
      </c>
      <c r="B11" s="26" t="s">
        <v>55</v>
      </c>
      <c r="D11" s="29"/>
    </row>
    <row r="12" spans="1:14" x14ac:dyDescent="0.3">
      <c r="B12" s="16" t="s">
        <v>42</v>
      </c>
      <c r="C12" s="30">
        <f>C5</f>
        <v>91814</v>
      </c>
      <c r="D12" s="22" t="s">
        <v>37</v>
      </c>
      <c r="E12" s="23">
        <f>C12/1000</f>
        <v>91.813999999999993</v>
      </c>
      <c r="F12" s="22" t="s">
        <v>38</v>
      </c>
      <c r="H12" s="31"/>
    </row>
    <row r="13" spans="1:14" x14ac:dyDescent="0.3">
      <c r="B13" s="16" t="s">
        <v>57</v>
      </c>
      <c r="C13" s="30">
        <f>E12*0.812</f>
        <v>74.552967999999993</v>
      </c>
      <c r="D13" s="16" t="s">
        <v>43</v>
      </c>
      <c r="E13" s="16"/>
      <c r="F13" s="32"/>
    </row>
    <row r="14" spans="1:14" x14ac:dyDescent="0.3">
      <c r="B14" s="28"/>
      <c r="C14" s="27"/>
      <c r="D14" s="28"/>
      <c r="E14" s="28"/>
      <c r="F14" s="28"/>
    </row>
    <row r="15" spans="1:14" ht="57.6" x14ac:dyDescent="0.3">
      <c r="A15" t="s">
        <v>41</v>
      </c>
      <c r="B15" s="33" t="s">
        <v>56</v>
      </c>
      <c r="C15" s="29"/>
      <c r="D15" s="29"/>
    </row>
    <row r="16" spans="1:14" x14ac:dyDescent="0.3">
      <c r="B16" s="16" t="s">
        <v>44</v>
      </c>
      <c r="C16" s="30">
        <f>C7</f>
        <v>36840</v>
      </c>
      <c r="D16" s="22" t="s">
        <v>37</v>
      </c>
      <c r="E16" s="23">
        <f t="shared" ref="E16:E18" si="0">C16/1000</f>
        <v>36.840000000000003</v>
      </c>
      <c r="F16" s="16" t="s">
        <v>38</v>
      </c>
    </row>
    <row r="17" spans="2:8" ht="28.8" x14ac:dyDescent="0.3">
      <c r="B17" s="24" t="s">
        <v>45</v>
      </c>
      <c r="C17" s="30">
        <f>C8</f>
        <v>2789.1891891891892</v>
      </c>
      <c r="D17" s="22" t="s">
        <v>37</v>
      </c>
      <c r="E17" s="23">
        <f t="shared" si="0"/>
        <v>2.7891891891891891</v>
      </c>
      <c r="F17" s="16" t="s">
        <v>38</v>
      </c>
    </row>
    <row r="18" spans="2:8" x14ac:dyDescent="0.3">
      <c r="B18" s="16" t="s">
        <v>46</v>
      </c>
      <c r="C18" s="30">
        <f>C9</f>
        <v>10320</v>
      </c>
      <c r="D18" s="22" t="s">
        <v>37</v>
      </c>
      <c r="E18" s="23">
        <f t="shared" si="0"/>
        <v>10.32</v>
      </c>
      <c r="F18" s="16" t="s">
        <v>38</v>
      </c>
    </row>
    <row r="19" spans="2:8" ht="28.8" x14ac:dyDescent="0.3">
      <c r="B19" s="24" t="s">
        <v>47</v>
      </c>
      <c r="C19" s="23">
        <f>(E18*C3)-((E17-E16)*0.812)</f>
        <v>31.158058378378385</v>
      </c>
      <c r="D19" s="16" t="s">
        <v>43</v>
      </c>
      <c r="E19" s="16"/>
      <c r="H19" s="34" t="s">
        <v>48</v>
      </c>
    </row>
    <row r="20" spans="2:8" x14ac:dyDescent="0.3">
      <c r="B20" s="16" t="s">
        <v>49</v>
      </c>
      <c r="C20" s="23">
        <f>C19</f>
        <v>31.158058378378385</v>
      </c>
      <c r="D20" s="23" t="s">
        <v>50</v>
      </c>
      <c r="E20" s="23">
        <f>C13</f>
        <v>74.552967999999993</v>
      </c>
      <c r="F20" s="32" t="s">
        <v>51</v>
      </c>
      <c r="G20" s="35">
        <f>C20/E20</f>
        <v>0.41793183040517434</v>
      </c>
      <c r="H20" s="31"/>
    </row>
    <row r="21" spans="2:8" x14ac:dyDescent="0.3">
      <c r="B21" s="36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5"/>
  <sheetViews>
    <sheetView tabSelected="1" topLeftCell="A22" workbookViewId="0">
      <selection activeCell="C8" sqref="C8"/>
    </sheetView>
  </sheetViews>
  <sheetFormatPr defaultColWidth="9" defaultRowHeight="13.2" x14ac:dyDescent="0.25"/>
  <cols>
    <col min="1" max="1" width="4" style="40" customWidth="1"/>
    <col min="2" max="2" width="7" style="39" customWidth="1"/>
    <col min="3" max="3" width="9.44140625" style="40" customWidth="1"/>
    <col min="4" max="8" width="12.33203125" style="40" customWidth="1"/>
    <col min="9" max="9" width="22.88671875" style="40" customWidth="1"/>
    <col min="10" max="10" width="11" style="40" customWidth="1"/>
    <col min="11" max="11" width="10.77734375" style="40" customWidth="1"/>
    <col min="12" max="12" width="11.109375" style="40" customWidth="1"/>
    <col min="13" max="256" width="9" style="40"/>
    <col min="257" max="257" width="4" style="40" customWidth="1"/>
    <col min="258" max="258" width="16.33203125" style="40" customWidth="1"/>
    <col min="259" max="259" width="18.33203125" style="40" customWidth="1"/>
    <col min="260" max="264" width="12.33203125" style="40" customWidth="1"/>
    <col min="265" max="265" width="9" style="40"/>
    <col min="266" max="266" width="11" style="40" customWidth="1"/>
    <col min="267" max="267" width="10.77734375" style="40" customWidth="1"/>
    <col min="268" max="268" width="11.109375" style="40" customWidth="1"/>
    <col min="269" max="512" width="9" style="40"/>
    <col min="513" max="513" width="4" style="40" customWidth="1"/>
    <col min="514" max="514" width="16.33203125" style="40" customWidth="1"/>
    <col min="515" max="515" width="18.33203125" style="40" customWidth="1"/>
    <col min="516" max="520" width="12.33203125" style="40" customWidth="1"/>
    <col min="521" max="521" width="9" style="40"/>
    <col min="522" max="522" width="11" style="40" customWidth="1"/>
    <col min="523" max="523" width="10.77734375" style="40" customWidth="1"/>
    <col min="524" max="524" width="11.109375" style="40" customWidth="1"/>
    <col min="525" max="768" width="9" style="40"/>
    <col min="769" max="769" width="4" style="40" customWidth="1"/>
    <col min="770" max="770" width="16.33203125" style="40" customWidth="1"/>
    <col min="771" max="771" width="18.33203125" style="40" customWidth="1"/>
    <col min="772" max="776" width="12.33203125" style="40" customWidth="1"/>
    <col min="777" max="777" width="9" style="40"/>
    <col min="778" max="778" width="11" style="40" customWidth="1"/>
    <col min="779" max="779" width="10.77734375" style="40" customWidth="1"/>
    <col min="780" max="780" width="11.109375" style="40" customWidth="1"/>
    <col min="781" max="1024" width="9" style="40"/>
    <col min="1025" max="1025" width="4" style="40" customWidth="1"/>
    <col min="1026" max="1026" width="16.33203125" style="40" customWidth="1"/>
    <col min="1027" max="1027" width="18.33203125" style="40" customWidth="1"/>
    <col min="1028" max="1032" width="12.33203125" style="40" customWidth="1"/>
    <col min="1033" max="1033" width="9" style="40"/>
    <col min="1034" max="1034" width="11" style="40" customWidth="1"/>
    <col min="1035" max="1035" width="10.77734375" style="40" customWidth="1"/>
    <col min="1036" max="1036" width="11.109375" style="40" customWidth="1"/>
    <col min="1037" max="1280" width="9" style="40"/>
    <col min="1281" max="1281" width="4" style="40" customWidth="1"/>
    <col min="1282" max="1282" width="16.33203125" style="40" customWidth="1"/>
    <col min="1283" max="1283" width="18.33203125" style="40" customWidth="1"/>
    <col min="1284" max="1288" width="12.33203125" style="40" customWidth="1"/>
    <col min="1289" max="1289" width="9" style="40"/>
    <col min="1290" max="1290" width="11" style="40" customWidth="1"/>
    <col min="1291" max="1291" width="10.77734375" style="40" customWidth="1"/>
    <col min="1292" max="1292" width="11.109375" style="40" customWidth="1"/>
    <col min="1293" max="1536" width="9" style="40"/>
    <col min="1537" max="1537" width="4" style="40" customWidth="1"/>
    <col min="1538" max="1538" width="16.33203125" style="40" customWidth="1"/>
    <col min="1539" max="1539" width="18.33203125" style="40" customWidth="1"/>
    <col min="1540" max="1544" width="12.33203125" style="40" customWidth="1"/>
    <col min="1545" max="1545" width="9" style="40"/>
    <col min="1546" max="1546" width="11" style="40" customWidth="1"/>
    <col min="1547" max="1547" width="10.77734375" style="40" customWidth="1"/>
    <col min="1548" max="1548" width="11.109375" style="40" customWidth="1"/>
    <col min="1549" max="1792" width="9" style="40"/>
    <col min="1793" max="1793" width="4" style="40" customWidth="1"/>
    <col min="1794" max="1794" width="16.33203125" style="40" customWidth="1"/>
    <col min="1795" max="1795" width="18.33203125" style="40" customWidth="1"/>
    <col min="1796" max="1800" width="12.33203125" style="40" customWidth="1"/>
    <col min="1801" max="1801" width="9" style="40"/>
    <col min="1802" max="1802" width="11" style="40" customWidth="1"/>
    <col min="1803" max="1803" width="10.77734375" style="40" customWidth="1"/>
    <col min="1804" max="1804" width="11.109375" style="40" customWidth="1"/>
    <col min="1805" max="2048" width="9" style="40"/>
    <col min="2049" max="2049" width="4" style="40" customWidth="1"/>
    <col min="2050" max="2050" width="16.33203125" style="40" customWidth="1"/>
    <col min="2051" max="2051" width="18.33203125" style="40" customWidth="1"/>
    <col min="2052" max="2056" width="12.33203125" style="40" customWidth="1"/>
    <col min="2057" max="2057" width="9" style="40"/>
    <col min="2058" max="2058" width="11" style="40" customWidth="1"/>
    <col min="2059" max="2059" width="10.77734375" style="40" customWidth="1"/>
    <col min="2060" max="2060" width="11.109375" style="40" customWidth="1"/>
    <col min="2061" max="2304" width="9" style="40"/>
    <col min="2305" max="2305" width="4" style="40" customWidth="1"/>
    <col min="2306" max="2306" width="16.33203125" style="40" customWidth="1"/>
    <col min="2307" max="2307" width="18.33203125" style="40" customWidth="1"/>
    <col min="2308" max="2312" width="12.33203125" style="40" customWidth="1"/>
    <col min="2313" max="2313" width="9" style="40"/>
    <col min="2314" max="2314" width="11" style="40" customWidth="1"/>
    <col min="2315" max="2315" width="10.77734375" style="40" customWidth="1"/>
    <col min="2316" max="2316" width="11.109375" style="40" customWidth="1"/>
    <col min="2317" max="2560" width="9" style="40"/>
    <col min="2561" max="2561" width="4" style="40" customWidth="1"/>
    <col min="2562" max="2562" width="16.33203125" style="40" customWidth="1"/>
    <col min="2563" max="2563" width="18.33203125" style="40" customWidth="1"/>
    <col min="2564" max="2568" width="12.33203125" style="40" customWidth="1"/>
    <col min="2569" max="2569" width="9" style="40"/>
    <col min="2570" max="2570" width="11" style="40" customWidth="1"/>
    <col min="2571" max="2571" width="10.77734375" style="40" customWidth="1"/>
    <col min="2572" max="2572" width="11.109375" style="40" customWidth="1"/>
    <col min="2573" max="2816" width="9" style="40"/>
    <col min="2817" max="2817" width="4" style="40" customWidth="1"/>
    <col min="2818" max="2818" width="16.33203125" style="40" customWidth="1"/>
    <col min="2819" max="2819" width="18.33203125" style="40" customWidth="1"/>
    <col min="2820" max="2824" width="12.33203125" style="40" customWidth="1"/>
    <col min="2825" max="2825" width="9" style="40"/>
    <col min="2826" max="2826" width="11" style="40" customWidth="1"/>
    <col min="2827" max="2827" width="10.77734375" style="40" customWidth="1"/>
    <col min="2828" max="2828" width="11.109375" style="40" customWidth="1"/>
    <col min="2829" max="3072" width="9" style="40"/>
    <col min="3073" max="3073" width="4" style="40" customWidth="1"/>
    <col min="3074" max="3074" width="16.33203125" style="40" customWidth="1"/>
    <col min="3075" max="3075" width="18.33203125" style="40" customWidth="1"/>
    <col min="3076" max="3080" width="12.33203125" style="40" customWidth="1"/>
    <col min="3081" max="3081" width="9" style="40"/>
    <col min="3082" max="3082" width="11" style="40" customWidth="1"/>
    <col min="3083" max="3083" width="10.77734375" style="40" customWidth="1"/>
    <col min="3084" max="3084" width="11.109375" style="40" customWidth="1"/>
    <col min="3085" max="3328" width="9" style="40"/>
    <col min="3329" max="3329" width="4" style="40" customWidth="1"/>
    <col min="3330" max="3330" width="16.33203125" style="40" customWidth="1"/>
    <col min="3331" max="3331" width="18.33203125" style="40" customWidth="1"/>
    <col min="3332" max="3336" width="12.33203125" style="40" customWidth="1"/>
    <col min="3337" max="3337" width="9" style="40"/>
    <col min="3338" max="3338" width="11" style="40" customWidth="1"/>
    <col min="3339" max="3339" width="10.77734375" style="40" customWidth="1"/>
    <col min="3340" max="3340" width="11.109375" style="40" customWidth="1"/>
    <col min="3341" max="3584" width="9" style="40"/>
    <col min="3585" max="3585" width="4" style="40" customWidth="1"/>
    <col min="3586" max="3586" width="16.33203125" style="40" customWidth="1"/>
    <col min="3587" max="3587" width="18.33203125" style="40" customWidth="1"/>
    <col min="3588" max="3592" width="12.33203125" style="40" customWidth="1"/>
    <col min="3593" max="3593" width="9" style="40"/>
    <col min="3594" max="3594" width="11" style="40" customWidth="1"/>
    <col min="3595" max="3595" width="10.77734375" style="40" customWidth="1"/>
    <col min="3596" max="3596" width="11.109375" style="40" customWidth="1"/>
    <col min="3597" max="3840" width="9" style="40"/>
    <col min="3841" max="3841" width="4" style="40" customWidth="1"/>
    <col min="3842" max="3842" width="16.33203125" style="40" customWidth="1"/>
    <col min="3843" max="3843" width="18.33203125" style="40" customWidth="1"/>
    <col min="3844" max="3848" width="12.33203125" style="40" customWidth="1"/>
    <col min="3849" max="3849" width="9" style="40"/>
    <col min="3850" max="3850" width="11" style="40" customWidth="1"/>
    <col min="3851" max="3851" width="10.77734375" style="40" customWidth="1"/>
    <col min="3852" max="3852" width="11.109375" style="40" customWidth="1"/>
    <col min="3853" max="4096" width="9" style="40"/>
    <col min="4097" max="4097" width="4" style="40" customWidth="1"/>
    <col min="4098" max="4098" width="16.33203125" style="40" customWidth="1"/>
    <col min="4099" max="4099" width="18.33203125" style="40" customWidth="1"/>
    <col min="4100" max="4104" width="12.33203125" style="40" customWidth="1"/>
    <col min="4105" max="4105" width="9" style="40"/>
    <col min="4106" max="4106" width="11" style="40" customWidth="1"/>
    <col min="4107" max="4107" width="10.77734375" style="40" customWidth="1"/>
    <col min="4108" max="4108" width="11.109375" style="40" customWidth="1"/>
    <col min="4109" max="4352" width="9" style="40"/>
    <col min="4353" max="4353" width="4" style="40" customWidth="1"/>
    <col min="4354" max="4354" width="16.33203125" style="40" customWidth="1"/>
    <col min="4355" max="4355" width="18.33203125" style="40" customWidth="1"/>
    <col min="4356" max="4360" width="12.33203125" style="40" customWidth="1"/>
    <col min="4361" max="4361" width="9" style="40"/>
    <col min="4362" max="4362" width="11" style="40" customWidth="1"/>
    <col min="4363" max="4363" width="10.77734375" style="40" customWidth="1"/>
    <col min="4364" max="4364" width="11.109375" style="40" customWidth="1"/>
    <col min="4365" max="4608" width="9" style="40"/>
    <col min="4609" max="4609" width="4" style="40" customWidth="1"/>
    <col min="4610" max="4610" width="16.33203125" style="40" customWidth="1"/>
    <col min="4611" max="4611" width="18.33203125" style="40" customWidth="1"/>
    <col min="4612" max="4616" width="12.33203125" style="40" customWidth="1"/>
    <col min="4617" max="4617" width="9" style="40"/>
    <col min="4618" max="4618" width="11" style="40" customWidth="1"/>
    <col min="4619" max="4619" width="10.77734375" style="40" customWidth="1"/>
    <col min="4620" max="4620" width="11.109375" style="40" customWidth="1"/>
    <col min="4621" max="4864" width="9" style="40"/>
    <col min="4865" max="4865" width="4" style="40" customWidth="1"/>
    <col min="4866" max="4866" width="16.33203125" style="40" customWidth="1"/>
    <col min="4867" max="4867" width="18.33203125" style="40" customWidth="1"/>
    <col min="4868" max="4872" width="12.33203125" style="40" customWidth="1"/>
    <col min="4873" max="4873" width="9" style="40"/>
    <col min="4874" max="4874" width="11" style="40" customWidth="1"/>
    <col min="4875" max="4875" width="10.77734375" style="40" customWidth="1"/>
    <col min="4876" max="4876" width="11.109375" style="40" customWidth="1"/>
    <col min="4877" max="5120" width="9" style="40"/>
    <col min="5121" max="5121" width="4" style="40" customWidth="1"/>
    <col min="5122" max="5122" width="16.33203125" style="40" customWidth="1"/>
    <col min="5123" max="5123" width="18.33203125" style="40" customWidth="1"/>
    <col min="5124" max="5128" width="12.33203125" style="40" customWidth="1"/>
    <col min="5129" max="5129" width="9" style="40"/>
    <col min="5130" max="5130" width="11" style="40" customWidth="1"/>
    <col min="5131" max="5131" width="10.77734375" style="40" customWidth="1"/>
    <col min="5132" max="5132" width="11.109375" style="40" customWidth="1"/>
    <col min="5133" max="5376" width="9" style="40"/>
    <col min="5377" max="5377" width="4" style="40" customWidth="1"/>
    <col min="5378" max="5378" width="16.33203125" style="40" customWidth="1"/>
    <col min="5379" max="5379" width="18.33203125" style="40" customWidth="1"/>
    <col min="5380" max="5384" width="12.33203125" style="40" customWidth="1"/>
    <col min="5385" max="5385" width="9" style="40"/>
    <col min="5386" max="5386" width="11" style="40" customWidth="1"/>
    <col min="5387" max="5387" width="10.77734375" style="40" customWidth="1"/>
    <col min="5388" max="5388" width="11.109375" style="40" customWidth="1"/>
    <col min="5389" max="5632" width="9" style="40"/>
    <col min="5633" max="5633" width="4" style="40" customWidth="1"/>
    <col min="5634" max="5634" width="16.33203125" style="40" customWidth="1"/>
    <col min="5635" max="5635" width="18.33203125" style="40" customWidth="1"/>
    <col min="5636" max="5640" width="12.33203125" style="40" customWidth="1"/>
    <col min="5641" max="5641" width="9" style="40"/>
    <col min="5642" max="5642" width="11" style="40" customWidth="1"/>
    <col min="5643" max="5643" width="10.77734375" style="40" customWidth="1"/>
    <col min="5644" max="5644" width="11.109375" style="40" customWidth="1"/>
    <col min="5645" max="5888" width="9" style="40"/>
    <col min="5889" max="5889" width="4" style="40" customWidth="1"/>
    <col min="5890" max="5890" width="16.33203125" style="40" customWidth="1"/>
    <col min="5891" max="5891" width="18.33203125" style="40" customWidth="1"/>
    <col min="5892" max="5896" width="12.33203125" style="40" customWidth="1"/>
    <col min="5897" max="5897" width="9" style="40"/>
    <col min="5898" max="5898" width="11" style="40" customWidth="1"/>
    <col min="5899" max="5899" width="10.77734375" style="40" customWidth="1"/>
    <col min="5900" max="5900" width="11.109375" style="40" customWidth="1"/>
    <col min="5901" max="6144" width="9" style="40"/>
    <col min="6145" max="6145" width="4" style="40" customWidth="1"/>
    <col min="6146" max="6146" width="16.33203125" style="40" customWidth="1"/>
    <col min="6147" max="6147" width="18.33203125" style="40" customWidth="1"/>
    <col min="6148" max="6152" width="12.33203125" style="40" customWidth="1"/>
    <col min="6153" max="6153" width="9" style="40"/>
    <col min="6154" max="6154" width="11" style="40" customWidth="1"/>
    <col min="6155" max="6155" width="10.77734375" style="40" customWidth="1"/>
    <col min="6156" max="6156" width="11.109375" style="40" customWidth="1"/>
    <col min="6157" max="6400" width="9" style="40"/>
    <col min="6401" max="6401" width="4" style="40" customWidth="1"/>
    <col min="6402" max="6402" width="16.33203125" style="40" customWidth="1"/>
    <col min="6403" max="6403" width="18.33203125" style="40" customWidth="1"/>
    <col min="6404" max="6408" width="12.33203125" style="40" customWidth="1"/>
    <col min="6409" max="6409" width="9" style="40"/>
    <col min="6410" max="6410" width="11" style="40" customWidth="1"/>
    <col min="6411" max="6411" width="10.77734375" style="40" customWidth="1"/>
    <col min="6412" max="6412" width="11.109375" style="40" customWidth="1"/>
    <col min="6413" max="6656" width="9" style="40"/>
    <col min="6657" max="6657" width="4" style="40" customWidth="1"/>
    <col min="6658" max="6658" width="16.33203125" style="40" customWidth="1"/>
    <col min="6659" max="6659" width="18.33203125" style="40" customWidth="1"/>
    <col min="6660" max="6664" width="12.33203125" style="40" customWidth="1"/>
    <col min="6665" max="6665" width="9" style="40"/>
    <col min="6666" max="6666" width="11" style="40" customWidth="1"/>
    <col min="6667" max="6667" width="10.77734375" style="40" customWidth="1"/>
    <col min="6668" max="6668" width="11.109375" style="40" customWidth="1"/>
    <col min="6669" max="6912" width="9" style="40"/>
    <col min="6913" max="6913" width="4" style="40" customWidth="1"/>
    <col min="6914" max="6914" width="16.33203125" style="40" customWidth="1"/>
    <col min="6915" max="6915" width="18.33203125" style="40" customWidth="1"/>
    <col min="6916" max="6920" width="12.33203125" style="40" customWidth="1"/>
    <col min="6921" max="6921" width="9" style="40"/>
    <col min="6922" max="6922" width="11" style="40" customWidth="1"/>
    <col min="6923" max="6923" width="10.77734375" style="40" customWidth="1"/>
    <col min="6924" max="6924" width="11.109375" style="40" customWidth="1"/>
    <col min="6925" max="7168" width="9" style="40"/>
    <col min="7169" max="7169" width="4" style="40" customWidth="1"/>
    <col min="7170" max="7170" width="16.33203125" style="40" customWidth="1"/>
    <col min="7171" max="7171" width="18.33203125" style="40" customWidth="1"/>
    <col min="7172" max="7176" width="12.33203125" style="40" customWidth="1"/>
    <col min="7177" max="7177" width="9" style="40"/>
    <col min="7178" max="7178" width="11" style="40" customWidth="1"/>
    <col min="7179" max="7179" width="10.77734375" style="40" customWidth="1"/>
    <col min="7180" max="7180" width="11.109375" style="40" customWidth="1"/>
    <col min="7181" max="7424" width="9" style="40"/>
    <col min="7425" max="7425" width="4" style="40" customWidth="1"/>
    <col min="7426" max="7426" width="16.33203125" style="40" customWidth="1"/>
    <col min="7427" max="7427" width="18.33203125" style="40" customWidth="1"/>
    <col min="7428" max="7432" width="12.33203125" style="40" customWidth="1"/>
    <col min="7433" max="7433" width="9" style="40"/>
    <col min="7434" max="7434" width="11" style="40" customWidth="1"/>
    <col min="7435" max="7435" width="10.77734375" style="40" customWidth="1"/>
    <col min="7436" max="7436" width="11.109375" style="40" customWidth="1"/>
    <col min="7437" max="7680" width="9" style="40"/>
    <col min="7681" max="7681" width="4" style="40" customWidth="1"/>
    <col min="7682" max="7682" width="16.33203125" style="40" customWidth="1"/>
    <col min="7683" max="7683" width="18.33203125" style="40" customWidth="1"/>
    <col min="7684" max="7688" width="12.33203125" style="40" customWidth="1"/>
    <col min="7689" max="7689" width="9" style="40"/>
    <col min="7690" max="7690" width="11" style="40" customWidth="1"/>
    <col min="7691" max="7691" width="10.77734375" style="40" customWidth="1"/>
    <col min="7692" max="7692" width="11.109375" style="40" customWidth="1"/>
    <col min="7693" max="7936" width="9" style="40"/>
    <col min="7937" max="7937" width="4" style="40" customWidth="1"/>
    <col min="7938" max="7938" width="16.33203125" style="40" customWidth="1"/>
    <col min="7939" max="7939" width="18.33203125" style="40" customWidth="1"/>
    <col min="7940" max="7944" width="12.33203125" style="40" customWidth="1"/>
    <col min="7945" max="7945" width="9" style="40"/>
    <col min="7946" max="7946" width="11" style="40" customWidth="1"/>
    <col min="7947" max="7947" width="10.77734375" style="40" customWidth="1"/>
    <col min="7948" max="7948" width="11.109375" style="40" customWidth="1"/>
    <col min="7949" max="8192" width="9" style="40"/>
    <col min="8193" max="8193" width="4" style="40" customWidth="1"/>
    <col min="8194" max="8194" width="16.33203125" style="40" customWidth="1"/>
    <col min="8195" max="8195" width="18.33203125" style="40" customWidth="1"/>
    <col min="8196" max="8200" width="12.33203125" style="40" customWidth="1"/>
    <col min="8201" max="8201" width="9" style="40"/>
    <col min="8202" max="8202" width="11" style="40" customWidth="1"/>
    <col min="8203" max="8203" width="10.77734375" style="40" customWidth="1"/>
    <col min="8204" max="8204" width="11.109375" style="40" customWidth="1"/>
    <col min="8205" max="8448" width="9" style="40"/>
    <col min="8449" max="8449" width="4" style="40" customWidth="1"/>
    <col min="8450" max="8450" width="16.33203125" style="40" customWidth="1"/>
    <col min="8451" max="8451" width="18.33203125" style="40" customWidth="1"/>
    <col min="8452" max="8456" width="12.33203125" style="40" customWidth="1"/>
    <col min="8457" max="8457" width="9" style="40"/>
    <col min="8458" max="8458" width="11" style="40" customWidth="1"/>
    <col min="8459" max="8459" width="10.77734375" style="40" customWidth="1"/>
    <col min="8460" max="8460" width="11.109375" style="40" customWidth="1"/>
    <col min="8461" max="8704" width="9" style="40"/>
    <col min="8705" max="8705" width="4" style="40" customWidth="1"/>
    <col min="8706" max="8706" width="16.33203125" style="40" customWidth="1"/>
    <col min="8707" max="8707" width="18.33203125" style="40" customWidth="1"/>
    <col min="8708" max="8712" width="12.33203125" style="40" customWidth="1"/>
    <col min="8713" max="8713" width="9" style="40"/>
    <col min="8714" max="8714" width="11" style="40" customWidth="1"/>
    <col min="8715" max="8715" width="10.77734375" style="40" customWidth="1"/>
    <col min="8716" max="8716" width="11.109375" style="40" customWidth="1"/>
    <col min="8717" max="8960" width="9" style="40"/>
    <col min="8961" max="8961" width="4" style="40" customWidth="1"/>
    <col min="8962" max="8962" width="16.33203125" style="40" customWidth="1"/>
    <col min="8963" max="8963" width="18.33203125" style="40" customWidth="1"/>
    <col min="8964" max="8968" width="12.33203125" style="40" customWidth="1"/>
    <col min="8969" max="8969" width="9" style="40"/>
    <col min="8970" max="8970" width="11" style="40" customWidth="1"/>
    <col min="8971" max="8971" width="10.77734375" style="40" customWidth="1"/>
    <col min="8972" max="8972" width="11.109375" style="40" customWidth="1"/>
    <col min="8973" max="9216" width="9" style="40"/>
    <col min="9217" max="9217" width="4" style="40" customWidth="1"/>
    <col min="9218" max="9218" width="16.33203125" style="40" customWidth="1"/>
    <col min="9219" max="9219" width="18.33203125" style="40" customWidth="1"/>
    <col min="9220" max="9224" width="12.33203125" style="40" customWidth="1"/>
    <col min="9225" max="9225" width="9" style="40"/>
    <col min="9226" max="9226" width="11" style="40" customWidth="1"/>
    <col min="9227" max="9227" width="10.77734375" style="40" customWidth="1"/>
    <col min="9228" max="9228" width="11.109375" style="40" customWidth="1"/>
    <col min="9229" max="9472" width="9" style="40"/>
    <col min="9473" max="9473" width="4" style="40" customWidth="1"/>
    <col min="9474" max="9474" width="16.33203125" style="40" customWidth="1"/>
    <col min="9475" max="9475" width="18.33203125" style="40" customWidth="1"/>
    <col min="9476" max="9480" width="12.33203125" style="40" customWidth="1"/>
    <col min="9481" max="9481" width="9" style="40"/>
    <col min="9482" max="9482" width="11" style="40" customWidth="1"/>
    <col min="9483" max="9483" width="10.77734375" style="40" customWidth="1"/>
    <col min="9484" max="9484" width="11.109375" style="40" customWidth="1"/>
    <col min="9485" max="9728" width="9" style="40"/>
    <col min="9729" max="9729" width="4" style="40" customWidth="1"/>
    <col min="9730" max="9730" width="16.33203125" style="40" customWidth="1"/>
    <col min="9731" max="9731" width="18.33203125" style="40" customWidth="1"/>
    <col min="9732" max="9736" width="12.33203125" style="40" customWidth="1"/>
    <col min="9737" max="9737" width="9" style="40"/>
    <col min="9738" max="9738" width="11" style="40" customWidth="1"/>
    <col min="9739" max="9739" width="10.77734375" style="40" customWidth="1"/>
    <col min="9740" max="9740" width="11.109375" style="40" customWidth="1"/>
    <col min="9741" max="9984" width="9" style="40"/>
    <col min="9985" max="9985" width="4" style="40" customWidth="1"/>
    <col min="9986" max="9986" width="16.33203125" style="40" customWidth="1"/>
    <col min="9987" max="9987" width="18.33203125" style="40" customWidth="1"/>
    <col min="9988" max="9992" width="12.33203125" style="40" customWidth="1"/>
    <col min="9993" max="9993" width="9" style="40"/>
    <col min="9994" max="9994" width="11" style="40" customWidth="1"/>
    <col min="9995" max="9995" width="10.77734375" style="40" customWidth="1"/>
    <col min="9996" max="9996" width="11.109375" style="40" customWidth="1"/>
    <col min="9997" max="10240" width="9" style="40"/>
    <col min="10241" max="10241" width="4" style="40" customWidth="1"/>
    <col min="10242" max="10242" width="16.33203125" style="40" customWidth="1"/>
    <col min="10243" max="10243" width="18.33203125" style="40" customWidth="1"/>
    <col min="10244" max="10248" width="12.33203125" style="40" customWidth="1"/>
    <col min="10249" max="10249" width="9" style="40"/>
    <col min="10250" max="10250" width="11" style="40" customWidth="1"/>
    <col min="10251" max="10251" width="10.77734375" style="40" customWidth="1"/>
    <col min="10252" max="10252" width="11.109375" style="40" customWidth="1"/>
    <col min="10253" max="10496" width="9" style="40"/>
    <col min="10497" max="10497" width="4" style="40" customWidth="1"/>
    <col min="10498" max="10498" width="16.33203125" style="40" customWidth="1"/>
    <col min="10499" max="10499" width="18.33203125" style="40" customWidth="1"/>
    <col min="10500" max="10504" width="12.33203125" style="40" customWidth="1"/>
    <col min="10505" max="10505" width="9" style="40"/>
    <col min="10506" max="10506" width="11" style="40" customWidth="1"/>
    <col min="10507" max="10507" width="10.77734375" style="40" customWidth="1"/>
    <col min="10508" max="10508" width="11.109375" style="40" customWidth="1"/>
    <col min="10509" max="10752" width="9" style="40"/>
    <col min="10753" max="10753" width="4" style="40" customWidth="1"/>
    <col min="10754" max="10754" width="16.33203125" style="40" customWidth="1"/>
    <col min="10755" max="10755" width="18.33203125" style="40" customWidth="1"/>
    <col min="10756" max="10760" width="12.33203125" style="40" customWidth="1"/>
    <col min="10761" max="10761" width="9" style="40"/>
    <col min="10762" max="10762" width="11" style="40" customWidth="1"/>
    <col min="10763" max="10763" width="10.77734375" style="40" customWidth="1"/>
    <col min="10764" max="10764" width="11.109375" style="40" customWidth="1"/>
    <col min="10765" max="11008" width="9" style="40"/>
    <col min="11009" max="11009" width="4" style="40" customWidth="1"/>
    <col min="11010" max="11010" width="16.33203125" style="40" customWidth="1"/>
    <col min="11011" max="11011" width="18.33203125" style="40" customWidth="1"/>
    <col min="11012" max="11016" width="12.33203125" style="40" customWidth="1"/>
    <col min="11017" max="11017" width="9" style="40"/>
    <col min="11018" max="11018" width="11" style="40" customWidth="1"/>
    <col min="11019" max="11019" width="10.77734375" style="40" customWidth="1"/>
    <col min="11020" max="11020" width="11.109375" style="40" customWidth="1"/>
    <col min="11021" max="11264" width="9" style="40"/>
    <col min="11265" max="11265" width="4" style="40" customWidth="1"/>
    <col min="11266" max="11266" width="16.33203125" style="40" customWidth="1"/>
    <col min="11267" max="11267" width="18.33203125" style="40" customWidth="1"/>
    <col min="11268" max="11272" width="12.33203125" style="40" customWidth="1"/>
    <col min="11273" max="11273" width="9" style="40"/>
    <col min="11274" max="11274" width="11" style="40" customWidth="1"/>
    <col min="11275" max="11275" width="10.77734375" style="40" customWidth="1"/>
    <col min="11276" max="11276" width="11.109375" style="40" customWidth="1"/>
    <col min="11277" max="11520" width="9" style="40"/>
    <col min="11521" max="11521" width="4" style="40" customWidth="1"/>
    <col min="11522" max="11522" width="16.33203125" style="40" customWidth="1"/>
    <col min="11523" max="11523" width="18.33203125" style="40" customWidth="1"/>
    <col min="11524" max="11528" width="12.33203125" style="40" customWidth="1"/>
    <col min="11529" max="11529" width="9" style="40"/>
    <col min="11530" max="11530" width="11" style="40" customWidth="1"/>
    <col min="11531" max="11531" width="10.77734375" style="40" customWidth="1"/>
    <col min="11532" max="11532" width="11.109375" style="40" customWidth="1"/>
    <col min="11533" max="11776" width="9" style="40"/>
    <col min="11777" max="11777" width="4" style="40" customWidth="1"/>
    <col min="11778" max="11778" width="16.33203125" style="40" customWidth="1"/>
    <col min="11779" max="11779" width="18.33203125" style="40" customWidth="1"/>
    <col min="11780" max="11784" width="12.33203125" style="40" customWidth="1"/>
    <col min="11785" max="11785" width="9" style="40"/>
    <col min="11786" max="11786" width="11" style="40" customWidth="1"/>
    <col min="11787" max="11787" width="10.77734375" style="40" customWidth="1"/>
    <col min="11788" max="11788" width="11.109375" style="40" customWidth="1"/>
    <col min="11789" max="12032" width="9" style="40"/>
    <col min="12033" max="12033" width="4" style="40" customWidth="1"/>
    <col min="12034" max="12034" width="16.33203125" style="40" customWidth="1"/>
    <col min="12035" max="12035" width="18.33203125" style="40" customWidth="1"/>
    <col min="12036" max="12040" width="12.33203125" style="40" customWidth="1"/>
    <col min="12041" max="12041" width="9" style="40"/>
    <col min="12042" max="12042" width="11" style="40" customWidth="1"/>
    <col min="12043" max="12043" width="10.77734375" style="40" customWidth="1"/>
    <col min="12044" max="12044" width="11.109375" style="40" customWidth="1"/>
    <col min="12045" max="12288" width="9" style="40"/>
    <col min="12289" max="12289" width="4" style="40" customWidth="1"/>
    <col min="12290" max="12290" width="16.33203125" style="40" customWidth="1"/>
    <col min="12291" max="12291" width="18.33203125" style="40" customWidth="1"/>
    <col min="12292" max="12296" width="12.33203125" style="40" customWidth="1"/>
    <col min="12297" max="12297" width="9" style="40"/>
    <col min="12298" max="12298" width="11" style="40" customWidth="1"/>
    <col min="12299" max="12299" width="10.77734375" style="40" customWidth="1"/>
    <col min="12300" max="12300" width="11.109375" style="40" customWidth="1"/>
    <col min="12301" max="12544" width="9" style="40"/>
    <col min="12545" max="12545" width="4" style="40" customWidth="1"/>
    <col min="12546" max="12546" width="16.33203125" style="40" customWidth="1"/>
    <col min="12547" max="12547" width="18.33203125" style="40" customWidth="1"/>
    <col min="12548" max="12552" width="12.33203125" style="40" customWidth="1"/>
    <col min="12553" max="12553" width="9" style="40"/>
    <col min="12554" max="12554" width="11" style="40" customWidth="1"/>
    <col min="12555" max="12555" width="10.77734375" style="40" customWidth="1"/>
    <col min="12556" max="12556" width="11.109375" style="40" customWidth="1"/>
    <col min="12557" max="12800" width="9" style="40"/>
    <col min="12801" max="12801" width="4" style="40" customWidth="1"/>
    <col min="12802" max="12802" width="16.33203125" style="40" customWidth="1"/>
    <col min="12803" max="12803" width="18.33203125" style="40" customWidth="1"/>
    <col min="12804" max="12808" width="12.33203125" style="40" customWidth="1"/>
    <col min="12809" max="12809" width="9" style="40"/>
    <col min="12810" max="12810" width="11" style="40" customWidth="1"/>
    <col min="12811" max="12811" width="10.77734375" style="40" customWidth="1"/>
    <col min="12812" max="12812" width="11.109375" style="40" customWidth="1"/>
    <col min="12813" max="13056" width="9" style="40"/>
    <col min="13057" max="13057" width="4" style="40" customWidth="1"/>
    <col min="13058" max="13058" width="16.33203125" style="40" customWidth="1"/>
    <col min="13059" max="13059" width="18.33203125" style="40" customWidth="1"/>
    <col min="13060" max="13064" width="12.33203125" style="40" customWidth="1"/>
    <col min="13065" max="13065" width="9" style="40"/>
    <col min="13066" max="13066" width="11" style="40" customWidth="1"/>
    <col min="13067" max="13067" width="10.77734375" style="40" customWidth="1"/>
    <col min="13068" max="13068" width="11.109375" style="40" customWidth="1"/>
    <col min="13069" max="13312" width="9" style="40"/>
    <col min="13313" max="13313" width="4" style="40" customWidth="1"/>
    <col min="13314" max="13314" width="16.33203125" style="40" customWidth="1"/>
    <col min="13315" max="13315" width="18.33203125" style="40" customWidth="1"/>
    <col min="13316" max="13320" width="12.33203125" style="40" customWidth="1"/>
    <col min="13321" max="13321" width="9" style="40"/>
    <col min="13322" max="13322" width="11" style="40" customWidth="1"/>
    <col min="13323" max="13323" width="10.77734375" style="40" customWidth="1"/>
    <col min="13324" max="13324" width="11.109375" style="40" customWidth="1"/>
    <col min="13325" max="13568" width="9" style="40"/>
    <col min="13569" max="13569" width="4" style="40" customWidth="1"/>
    <col min="13570" max="13570" width="16.33203125" style="40" customWidth="1"/>
    <col min="13571" max="13571" width="18.33203125" style="40" customWidth="1"/>
    <col min="13572" max="13576" width="12.33203125" style="40" customWidth="1"/>
    <col min="13577" max="13577" width="9" style="40"/>
    <col min="13578" max="13578" width="11" style="40" customWidth="1"/>
    <col min="13579" max="13579" width="10.77734375" style="40" customWidth="1"/>
    <col min="13580" max="13580" width="11.109375" style="40" customWidth="1"/>
    <col min="13581" max="13824" width="9" style="40"/>
    <col min="13825" max="13825" width="4" style="40" customWidth="1"/>
    <col min="13826" max="13826" width="16.33203125" style="40" customWidth="1"/>
    <col min="13827" max="13827" width="18.33203125" style="40" customWidth="1"/>
    <col min="13828" max="13832" width="12.33203125" style="40" customWidth="1"/>
    <col min="13833" max="13833" width="9" style="40"/>
    <col min="13834" max="13834" width="11" style="40" customWidth="1"/>
    <col min="13835" max="13835" width="10.77734375" style="40" customWidth="1"/>
    <col min="13836" max="13836" width="11.109375" style="40" customWidth="1"/>
    <col min="13837" max="14080" width="9" style="40"/>
    <col min="14081" max="14081" width="4" style="40" customWidth="1"/>
    <col min="14082" max="14082" width="16.33203125" style="40" customWidth="1"/>
    <col min="14083" max="14083" width="18.33203125" style="40" customWidth="1"/>
    <col min="14084" max="14088" width="12.33203125" style="40" customWidth="1"/>
    <col min="14089" max="14089" width="9" style="40"/>
    <col min="14090" max="14090" width="11" style="40" customWidth="1"/>
    <col min="14091" max="14091" width="10.77734375" style="40" customWidth="1"/>
    <col min="14092" max="14092" width="11.109375" style="40" customWidth="1"/>
    <col min="14093" max="14336" width="9" style="40"/>
    <col min="14337" max="14337" width="4" style="40" customWidth="1"/>
    <col min="14338" max="14338" width="16.33203125" style="40" customWidth="1"/>
    <col min="14339" max="14339" width="18.33203125" style="40" customWidth="1"/>
    <col min="14340" max="14344" width="12.33203125" style="40" customWidth="1"/>
    <col min="14345" max="14345" width="9" style="40"/>
    <col min="14346" max="14346" width="11" style="40" customWidth="1"/>
    <col min="14347" max="14347" width="10.77734375" style="40" customWidth="1"/>
    <col min="14348" max="14348" width="11.109375" style="40" customWidth="1"/>
    <col min="14349" max="14592" width="9" style="40"/>
    <col min="14593" max="14593" width="4" style="40" customWidth="1"/>
    <col min="14594" max="14594" width="16.33203125" style="40" customWidth="1"/>
    <col min="14595" max="14595" width="18.33203125" style="40" customWidth="1"/>
    <col min="14596" max="14600" width="12.33203125" style="40" customWidth="1"/>
    <col min="14601" max="14601" width="9" style="40"/>
    <col min="14602" max="14602" width="11" style="40" customWidth="1"/>
    <col min="14603" max="14603" width="10.77734375" style="40" customWidth="1"/>
    <col min="14604" max="14604" width="11.109375" style="40" customWidth="1"/>
    <col min="14605" max="14848" width="9" style="40"/>
    <col min="14849" max="14849" width="4" style="40" customWidth="1"/>
    <col min="14850" max="14850" width="16.33203125" style="40" customWidth="1"/>
    <col min="14851" max="14851" width="18.33203125" style="40" customWidth="1"/>
    <col min="14852" max="14856" width="12.33203125" style="40" customWidth="1"/>
    <col min="14857" max="14857" width="9" style="40"/>
    <col min="14858" max="14858" width="11" style="40" customWidth="1"/>
    <col min="14859" max="14859" width="10.77734375" style="40" customWidth="1"/>
    <col min="14860" max="14860" width="11.109375" style="40" customWidth="1"/>
    <col min="14861" max="15104" width="9" style="40"/>
    <col min="15105" max="15105" width="4" style="40" customWidth="1"/>
    <col min="15106" max="15106" width="16.33203125" style="40" customWidth="1"/>
    <col min="15107" max="15107" width="18.33203125" style="40" customWidth="1"/>
    <col min="15108" max="15112" width="12.33203125" style="40" customWidth="1"/>
    <col min="15113" max="15113" width="9" style="40"/>
    <col min="15114" max="15114" width="11" style="40" customWidth="1"/>
    <col min="15115" max="15115" width="10.77734375" style="40" customWidth="1"/>
    <col min="15116" max="15116" width="11.109375" style="40" customWidth="1"/>
    <col min="15117" max="15360" width="9" style="40"/>
    <col min="15361" max="15361" width="4" style="40" customWidth="1"/>
    <col min="15362" max="15362" width="16.33203125" style="40" customWidth="1"/>
    <col min="15363" max="15363" width="18.33203125" style="40" customWidth="1"/>
    <col min="15364" max="15368" width="12.33203125" style="40" customWidth="1"/>
    <col min="15369" max="15369" width="9" style="40"/>
    <col min="15370" max="15370" width="11" style="40" customWidth="1"/>
    <col min="15371" max="15371" width="10.77734375" style="40" customWidth="1"/>
    <col min="15372" max="15372" width="11.109375" style="40" customWidth="1"/>
    <col min="15373" max="15616" width="9" style="40"/>
    <col min="15617" max="15617" width="4" style="40" customWidth="1"/>
    <col min="15618" max="15618" width="16.33203125" style="40" customWidth="1"/>
    <col min="15619" max="15619" width="18.33203125" style="40" customWidth="1"/>
    <col min="15620" max="15624" width="12.33203125" style="40" customWidth="1"/>
    <col min="15625" max="15625" width="9" style="40"/>
    <col min="15626" max="15626" width="11" style="40" customWidth="1"/>
    <col min="15627" max="15627" width="10.77734375" style="40" customWidth="1"/>
    <col min="15628" max="15628" width="11.109375" style="40" customWidth="1"/>
    <col min="15629" max="15872" width="9" style="40"/>
    <col min="15873" max="15873" width="4" style="40" customWidth="1"/>
    <col min="15874" max="15874" width="16.33203125" style="40" customWidth="1"/>
    <col min="15875" max="15875" width="18.33203125" style="40" customWidth="1"/>
    <col min="15876" max="15880" width="12.33203125" style="40" customWidth="1"/>
    <col min="15881" max="15881" width="9" style="40"/>
    <col min="15882" max="15882" width="11" style="40" customWidth="1"/>
    <col min="15883" max="15883" width="10.77734375" style="40" customWidth="1"/>
    <col min="15884" max="15884" width="11.109375" style="40" customWidth="1"/>
    <col min="15885" max="16128" width="9" style="40"/>
    <col min="16129" max="16129" width="4" style="40" customWidth="1"/>
    <col min="16130" max="16130" width="16.33203125" style="40" customWidth="1"/>
    <col min="16131" max="16131" width="18.33203125" style="40" customWidth="1"/>
    <col min="16132" max="16136" width="12.33203125" style="40" customWidth="1"/>
    <col min="16137" max="16137" width="9" style="40"/>
    <col min="16138" max="16138" width="11" style="40" customWidth="1"/>
    <col min="16139" max="16139" width="10.77734375" style="40" customWidth="1"/>
    <col min="16140" max="16140" width="11.109375" style="40" customWidth="1"/>
    <col min="16141" max="16384" width="9" style="40"/>
  </cols>
  <sheetData>
    <row r="1" spans="1:9" ht="14.4" x14ac:dyDescent="0.3">
      <c r="A1" s="38" t="s">
        <v>58</v>
      </c>
    </row>
    <row r="2" spans="1:9" s="42" customFormat="1" ht="14.4" x14ac:dyDescent="0.3">
      <c r="A2" s="41" t="s">
        <v>59</v>
      </c>
      <c r="B2" s="41"/>
      <c r="C2" s="41"/>
      <c r="D2" s="41"/>
      <c r="E2" s="41"/>
      <c r="F2" s="41"/>
      <c r="G2" s="41"/>
      <c r="H2" s="41"/>
      <c r="I2" s="41"/>
    </row>
    <row r="3" spans="1:9" s="42" customFormat="1" ht="14.4" x14ac:dyDescent="0.3">
      <c r="A3" s="41" t="s">
        <v>60</v>
      </c>
      <c r="B3" s="41"/>
      <c r="C3" s="41"/>
      <c r="D3" s="41"/>
      <c r="E3" s="41"/>
      <c r="F3" s="41"/>
      <c r="G3" s="41"/>
      <c r="H3" s="41"/>
      <c r="I3" s="41"/>
    </row>
    <row r="4" spans="1:9" s="42" customFormat="1" ht="14.4" x14ac:dyDescent="0.3">
      <c r="A4" s="41" t="s">
        <v>61</v>
      </c>
      <c r="B4" s="41"/>
      <c r="C4" s="41"/>
      <c r="D4" s="41"/>
      <c r="E4" s="41"/>
      <c r="F4" s="41"/>
      <c r="G4" s="41"/>
      <c r="H4" s="41"/>
      <c r="I4" s="41"/>
    </row>
    <row r="5" spans="1:9" s="42" customFormat="1" ht="14.4" x14ac:dyDescent="0.3">
      <c r="A5" s="41" t="s">
        <v>62</v>
      </c>
      <c r="B5" s="41"/>
      <c r="C5" s="41"/>
      <c r="D5" s="41"/>
      <c r="E5" s="41"/>
      <c r="F5" s="41"/>
      <c r="G5" s="41"/>
      <c r="H5" s="41"/>
      <c r="I5" s="41"/>
    </row>
    <row r="6" spans="1:9" s="42" customFormat="1" ht="14.4" x14ac:dyDescent="0.3">
      <c r="A6" s="41" t="s">
        <v>63</v>
      </c>
      <c r="B6" s="41"/>
      <c r="C6" s="41"/>
      <c r="D6" s="41"/>
      <c r="E6" s="41"/>
      <c r="F6" s="41"/>
      <c r="G6" s="41"/>
      <c r="H6" s="41"/>
      <c r="I6" s="41"/>
    </row>
    <row r="7" spans="1:9" s="42" customFormat="1" ht="14.4" x14ac:dyDescent="0.3">
      <c r="A7" s="41" t="s">
        <v>64</v>
      </c>
      <c r="B7" s="41"/>
      <c r="C7" s="43">
        <f>kalkulacja!E16</f>
        <v>36.840000000000003</v>
      </c>
      <c r="D7" s="41" t="s">
        <v>65</v>
      </c>
      <c r="E7" s="41"/>
      <c r="F7" s="41"/>
      <c r="G7" s="41"/>
      <c r="H7" s="41"/>
      <c r="I7" s="41"/>
    </row>
    <row r="8" spans="1:9" s="42" customFormat="1" ht="14.4" x14ac:dyDescent="0.3">
      <c r="A8" s="41" t="s">
        <v>66</v>
      </c>
      <c r="B8" s="41"/>
      <c r="C8" s="43">
        <f>C22</f>
        <v>6.4069565217391311</v>
      </c>
      <c r="D8" s="41"/>
      <c r="E8" s="41"/>
      <c r="F8" s="41"/>
      <c r="G8" s="41"/>
      <c r="H8" s="41"/>
      <c r="I8" s="41"/>
    </row>
    <row r="9" spans="1:9" s="42" customFormat="1" ht="14.4" x14ac:dyDescent="0.3">
      <c r="A9" s="41"/>
      <c r="B9" s="41"/>
      <c r="C9" s="41"/>
      <c r="D9" s="41"/>
      <c r="E9" s="41"/>
      <c r="F9" s="41"/>
      <c r="G9" s="41"/>
      <c r="H9" s="41"/>
      <c r="I9" s="41"/>
    </row>
    <row r="10" spans="1:9" s="42" customFormat="1" ht="14.4" x14ac:dyDescent="0.3">
      <c r="A10" s="41" t="s">
        <v>67</v>
      </c>
      <c r="B10" s="41"/>
      <c r="C10" s="41"/>
      <c r="D10" s="41"/>
      <c r="E10" s="41"/>
      <c r="F10" s="41"/>
      <c r="G10" s="41"/>
      <c r="H10" s="41"/>
      <c r="I10" s="41"/>
    </row>
    <row r="11" spans="1:9" s="42" customFormat="1" ht="14.4" x14ac:dyDescent="0.3">
      <c r="A11" s="41" t="s">
        <v>68</v>
      </c>
      <c r="B11" s="41"/>
      <c r="C11" s="41"/>
      <c r="D11" s="41"/>
      <c r="E11" s="41"/>
      <c r="F11" s="41"/>
      <c r="G11" s="41"/>
      <c r="H11" s="41"/>
      <c r="I11" s="41"/>
    </row>
    <row r="12" spans="1:9" s="42" customFormat="1" ht="14.4" x14ac:dyDescent="0.3">
      <c r="A12" s="41" t="s">
        <v>69</v>
      </c>
      <c r="B12" s="41"/>
      <c r="C12" s="43">
        <f>C25</f>
        <v>0.1025113043478261</v>
      </c>
      <c r="D12" s="41"/>
      <c r="E12" s="41"/>
      <c r="F12" s="41"/>
      <c r="G12" s="41"/>
      <c r="H12" s="41"/>
      <c r="I12" s="41"/>
    </row>
    <row r="13" spans="1:9" s="42" customFormat="1" ht="14.4" x14ac:dyDescent="0.3">
      <c r="A13" s="41"/>
      <c r="B13" s="41"/>
      <c r="C13" s="41"/>
      <c r="D13" s="41"/>
      <c r="E13" s="41"/>
      <c r="F13" s="41"/>
      <c r="G13" s="41"/>
      <c r="H13" s="41"/>
      <c r="I13" s="41"/>
    </row>
    <row r="14" spans="1:9" s="42" customFormat="1" ht="14.4" x14ac:dyDescent="0.3">
      <c r="A14" s="41" t="s">
        <v>70</v>
      </c>
      <c r="B14" s="41"/>
      <c r="C14" s="41"/>
      <c r="D14" s="41"/>
      <c r="E14" s="41"/>
      <c r="F14" s="41"/>
      <c r="G14" s="41"/>
      <c r="H14" s="41"/>
      <c r="I14" s="41"/>
    </row>
    <row r="15" spans="1:9" s="42" customFormat="1" ht="14.4" x14ac:dyDescent="0.3">
      <c r="A15" s="41" t="s">
        <v>71</v>
      </c>
      <c r="B15" s="41"/>
      <c r="C15" s="41"/>
      <c r="D15" s="41"/>
      <c r="E15" s="41"/>
      <c r="F15" s="41"/>
      <c r="G15" s="41"/>
      <c r="H15" s="41"/>
      <c r="I15" s="41"/>
    </row>
    <row r="16" spans="1:9" s="42" customFormat="1" ht="14.4" x14ac:dyDescent="0.3">
      <c r="A16" s="44" t="s">
        <v>72</v>
      </c>
      <c r="B16" s="44"/>
      <c r="C16" s="45">
        <f>C30</f>
        <v>9.4310400000000016E-2</v>
      </c>
      <c r="D16" s="41"/>
      <c r="E16" s="41"/>
      <c r="F16" s="41"/>
      <c r="G16" s="41"/>
      <c r="H16" s="41"/>
      <c r="I16" s="41"/>
    </row>
    <row r="17" spans="1:12" s="42" customFormat="1" ht="14.4" x14ac:dyDescent="0.3">
      <c r="A17" s="41"/>
      <c r="B17" s="41"/>
      <c r="C17" s="41"/>
      <c r="D17" s="41"/>
      <c r="E17" s="41"/>
      <c r="F17" s="41"/>
      <c r="G17" s="41"/>
      <c r="H17" s="41"/>
      <c r="I17" s="41"/>
    </row>
    <row r="18" spans="1:12" ht="115.8" customHeight="1" x14ac:dyDescent="0.25">
      <c r="A18" s="46" t="s">
        <v>73</v>
      </c>
      <c r="B18" s="46"/>
      <c r="C18" s="46"/>
      <c r="D18" s="46"/>
      <c r="E18" s="46"/>
      <c r="F18" s="46"/>
      <c r="G18" s="46"/>
      <c r="H18" s="46"/>
      <c r="I18" s="47"/>
    </row>
    <row r="19" spans="1:12" ht="19.8" customHeight="1" x14ac:dyDescent="0.25">
      <c r="A19" s="48"/>
      <c r="B19" s="48"/>
      <c r="C19" s="48"/>
      <c r="D19" s="48"/>
      <c r="E19" s="48"/>
      <c r="F19" s="48"/>
      <c r="G19" s="48"/>
      <c r="H19" s="48"/>
      <c r="I19" s="47"/>
    </row>
    <row r="20" spans="1:12" ht="14.4" x14ac:dyDescent="0.3">
      <c r="A20" s="49" t="s">
        <v>74</v>
      </c>
      <c r="B20" s="50"/>
      <c r="C20" s="51"/>
      <c r="D20" s="51"/>
      <c r="E20" s="52"/>
      <c r="F20" s="52"/>
      <c r="G20" s="52"/>
      <c r="H20" s="52"/>
    </row>
    <row r="21" spans="1:12" s="55" customFormat="1" ht="30.6" x14ac:dyDescent="0.3">
      <c r="A21" s="53" t="s">
        <v>75</v>
      </c>
      <c r="B21" s="53"/>
      <c r="C21" s="54" t="s">
        <v>76</v>
      </c>
      <c r="D21" s="54" t="s">
        <v>77</v>
      </c>
      <c r="E21" s="54" t="s">
        <v>78</v>
      </c>
      <c r="F21" s="54" t="s">
        <v>79</v>
      </c>
      <c r="G21" s="54" t="s">
        <v>80</v>
      </c>
      <c r="H21" s="54" t="s">
        <v>81</v>
      </c>
    </row>
    <row r="22" spans="1:12" ht="39.15" customHeight="1" x14ac:dyDescent="0.25">
      <c r="A22" s="53" t="s">
        <v>82</v>
      </c>
      <c r="B22" s="53"/>
      <c r="C22" s="56">
        <f>L25+L26</f>
        <v>6.4069565217391311</v>
      </c>
      <c r="D22" s="57"/>
      <c r="E22" s="57"/>
      <c r="F22" s="57"/>
      <c r="G22" s="57"/>
      <c r="H22" s="57"/>
    </row>
    <row r="23" spans="1:12" s="55" customFormat="1" ht="30.9" customHeight="1" x14ac:dyDescent="0.3">
      <c r="A23" s="58" t="s">
        <v>83</v>
      </c>
      <c r="B23" s="58"/>
      <c r="C23" s="58"/>
      <c r="D23" s="58"/>
      <c r="E23" s="58"/>
      <c r="F23" s="58"/>
      <c r="G23" s="58"/>
      <c r="H23" s="58"/>
    </row>
    <row r="24" spans="1:12" ht="33.6" customHeight="1" x14ac:dyDescent="0.3">
      <c r="A24" s="59" t="s">
        <v>84</v>
      </c>
      <c r="B24" s="59"/>
      <c r="C24" s="60">
        <f>15*$C$22*100/(75*1000)</f>
        <v>0.12813913043478262</v>
      </c>
      <c r="D24" s="61">
        <f>15*$D$22*100/(75*1000)</f>
        <v>0</v>
      </c>
      <c r="E24" s="61">
        <f>$E$22*1.8/1000</f>
        <v>0</v>
      </c>
      <c r="F24" s="61">
        <f>$F$22*15/1000000000</f>
        <v>0</v>
      </c>
      <c r="G24" s="61">
        <f>$G$22*0.002</f>
        <v>0</v>
      </c>
      <c r="H24" s="61">
        <f>$H$22*3.371/1000</f>
        <v>0</v>
      </c>
    </row>
    <row r="25" spans="1:12" ht="15.6" customHeight="1" x14ac:dyDescent="0.35">
      <c r="A25" s="59" t="s">
        <v>85</v>
      </c>
      <c r="B25" s="59"/>
      <c r="C25" s="60">
        <f>$C$22*(16000/1000*1)/1000</f>
        <v>0.1025113043478261</v>
      </c>
      <c r="D25" s="61">
        <f>$D$22*9.6/1000</f>
        <v>0</v>
      </c>
      <c r="E25" s="61">
        <f>$E$22*5.7/1000</f>
        <v>0</v>
      </c>
      <c r="F25" s="61">
        <f>$F$22*0.6/1000000000</f>
        <v>0</v>
      </c>
      <c r="G25" s="61">
        <f>$G$22*0.001</f>
        <v>0</v>
      </c>
      <c r="H25" s="61">
        <f>$H$22*1.461/1000</f>
        <v>0</v>
      </c>
      <c r="J25" s="62">
        <f>C7</f>
        <v>36.840000000000003</v>
      </c>
      <c r="K25" s="40">
        <v>3600</v>
      </c>
      <c r="L25" s="40">
        <f>J25*K25/D39/1000</f>
        <v>6.4069565217391311</v>
      </c>
    </row>
    <row r="26" spans="1:12" ht="15.6" customHeight="1" x14ac:dyDescent="0.35">
      <c r="A26" s="59" t="s">
        <v>86</v>
      </c>
      <c r="B26" s="59"/>
      <c r="C26" s="60">
        <f>$C$22*1/1000</f>
        <v>6.4069565217391312E-3</v>
      </c>
      <c r="D26" s="61">
        <f>$D$22*1.5/1000</f>
        <v>0</v>
      </c>
      <c r="E26" s="61">
        <f>$E$22*5/1000</f>
        <v>0</v>
      </c>
      <c r="F26" s="61">
        <f>$F$22*1280/1000000000</f>
        <v>0</v>
      </c>
      <c r="G26" s="61">
        <f>0.001*$G$22</f>
        <v>0</v>
      </c>
      <c r="H26" s="61">
        <f>1.798*$H$22/1000</f>
        <v>0</v>
      </c>
      <c r="J26" s="40">
        <v>0</v>
      </c>
      <c r="K26" s="40">
        <v>1000</v>
      </c>
      <c r="L26" s="40">
        <f>J26*K26/D39/1000</f>
        <v>0</v>
      </c>
    </row>
    <row r="27" spans="1:12" ht="14.4" customHeight="1" x14ac:dyDescent="0.3">
      <c r="A27" s="59" t="s">
        <v>87</v>
      </c>
      <c r="B27" s="59"/>
      <c r="C27" s="60">
        <f>$C$22*45/1000</f>
        <v>0.28831304347826092</v>
      </c>
      <c r="D27" s="61">
        <f>$D$22*25/1000</f>
        <v>0</v>
      </c>
      <c r="E27" s="61">
        <f>$E$22*0.6/1000</f>
        <v>0</v>
      </c>
      <c r="F27" s="61">
        <f>$F$22*360/1000000000</f>
        <v>0</v>
      </c>
      <c r="G27" s="61">
        <f>0.004*$G$22</f>
        <v>0</v>
      </c>
      <c r="H27" s="61">
        <f>1.798*$H$22/1000</f>
        <v>0</v>
      </c>
      <c r="K27" s="63"/>
    </row>
    <row r="28" spans="1:12" ht="15.6" customHeight="1" x14ac:dyDescent="0.35">
      <c r="A28" s="59" t="s">
        <v>88</v>
      </c>
      <c r="B28" s="59"/>
      <c r="C28" s="60">
        <f>$C$22*2000/1000</f>
        <v>12.813913043478262</v>
      </c>
      <c r="D28" s="61">
        <f>$D$22*2400/1000</f>
        <v>0</v>
      </c>
      <c r="E28" s="61">
        <f>$E$22*1650/1000</f>
        <v>0</v>
      </c>
      <c r="F28" s="61">
        <f>$F$22*1964000/1000000000</f>
        <v>0</v>
      </c>
      <c r="G28" s="61">
        <v>0</v>
      </c>
      <c r="H28" s="61">
        <v>0</v>
      </c>
      <c r="J28" s="40">
        <v>1.419130435</v>
      </c>
      <c r="K28" s="64">
        <f>C28+J28</f>
        <v>14.233043478478262</v>
      </c>
    </row>
    <row r="29" spans="1:12" s="69" customFormat="1" ht="14.4" customHeight="1" x14ac:dyDescent="0.3">
      <c r="A29" s="65" t="s">
        <v>89</v>
      </c>
      <c r="B29" s="65"/>
      <c r="C29" s="66">
        <f>C24*75%</f>
        <v>9.6104347826086955E-2</v>
      </c>
      <c r="D29" s="67">
        <f>D24*75%</f>
        <v>0</v>
      </c>
      <c r="E29" s="67">
        <f>E24*77%</f>
        <v>0</v>
      </c>
      <c r="F29" s="67">
        <f>F24*50%</f>
        <v>0</v>
      </c>
      <c r="G29" s="67">
        <f>G24*77%</f>
        <v>0</v>
      </c>
      <c r="H29" s="67">
        <f>H24*72%</f>
        <v>0</v>
      </c>
      <c r="I29" s="68"/>
      <c r="J29" s="69">
        <v>1.0643478E-2</v>
      </c>
      <c r="K29" s="70">
        <f>C29+J29</f>
        <v>0.10674782582608695</v>
      </c>
    </row>
    <row r="30" spans="1:12" s="69" customFormat="1" ht="14.4" customHeight="1" x14ac:dyDescent="0.3">
      <c r="A30" s="65" t="s">
        <v>90</v>
      </c>
      <c r="B30" s="65"/>
      <c r="C30" s="66">
        <f>C25*92%</f>
        <v>9.4310400000000016E-2</v>
      </c>
      <c r="D30" s="67">
        <f>D25*92%</f>
        <v>0</v>
      </c>
      <c r="E30" s="67">
        <f>E25*94%</f>
        <v>0</v>
      </c>
      <c r="F30" s="67">
        <f>F25*94%</f>
        <v>0</v>
      </c>
      <c r="G30" s="67">
        <f>G25*95%</f>
        <v>0</v>
      </c>
      <c r="H30" s="67">
        <f>H25*95%</f>
        <v>0</v>
      </c>
      <c r="I30" s="68"/>
      <c r="J30" s="69">
        <v>6.2668799999999998E-3</v>
      </c>
      <c r="K30" s="70">
        <f>C30+J30</f>
        <v>0.10057728000000002</v>
      </c>
    </row>
    <row r="31" spans="1:12" ht="14.4" customHeight="1" x14ac:dyDescent="0.3">
      <c r="A31" s="59" t="s">
        <v>91</v>
      </c>
      <c r="B31" s="59"/>
      <c r="C31" s="60">
        <f>IF(C22=0,"",ROUND(C22*D39*100/10^9,5))</f>
        <v>1.0000000000000001E-5</v>
      </c>
      <c r="D31" s="67">
        <f>D26*92%</f>
        <v>0</v>
      </c>
      <c r="E31" s="67">
        <f>E26*94%</f>
        <v>0</v>
      </c>
      <c r="F31" s="67">
        <f>F26*94%</f>
        <v>0</v>
      </c>
      <c r="G31" s="67">
        <f>G26*95%</f>
        <v>0</v>
      </c>
      <c r="H31" s="67">
        <f>H26*95%</f>
        <v>0</v>
      </c>
      <c r="J31" s="40">
        <v>0</v>
      </c>
      <c r="K31" s="64">
        <f>C31+J31</f>
        <v>1.0000000000000001E-5</v>
      </c>
    </row>
    <row r="32" spans="1:12" ht="126" customHeight="1" x14ac:dyDescent="0.25">
      <c r="A32" s="71"/>
      <c r="B32" s="71"/>
      <c r="C32" s="72"/>
      <c r="D32" s="68"/>
      <c r="E32" s="68"/>
      <c r="F32" s="68"/>
      <c r="G32" s="68"/>
      <c r="H32" s="68"/>
      <c r="K32" s="64"/>
    </row>
    <row r="33" spans="2:8" ht="81" customHeight="1" x14ac:dyDescent="0.25">
      <c r="B33" s="73" t="s">
        <v>92</v>
      </c>
      <c r="C33" s="73"/>
      <c r="D33" s="73"/>
      <c r="E33" s="73"/>
      <c r="F33" s="73"/>
      <c r="G33" s="73"/>
      <c r="H33" s="73"/>
    </row>
    <row r="34" spans="2:8" x14ac:dyDescent="0.25">
      <c r="C34" s="74"/>
    </row>
    <row r="36" spans="2:8" ht="15.6" x14ac:dyDescent="0.3">
      <c r="B36" s="75"/>
      <c r="C36" s="75"/>
      <c r="D36" s="75"/>
      <c r="E36" s="75"/>
      <c r="F36" s="75"/>
      <c r="G36" s="75"/>
      <c r="H36" s="75"/>
    </row>
    <row r="37" spans="2:8" x14ac:dyDescent="0.25">
      <c r="B37" s="76"/>
    </row>
    <row r="38" spans="2:8" ht="17.399999999999999" x14ac:dyDescent="0.25">
      <c r="B38" s="76"/>
      <c r="C38" s="77"/>
      <c r="D38" s="77"/>
      <c r="E38" s="77"/>
      <c r="F38" s="77"/>
      <c r="G38" s="77"/>
    </row>
    <row r="39" spans="2:8" x14ac:dyDescent="0.25">
      <c r="B39" s="76" t="s">
        <v>93</v>
      </c>
      <c r="C39" s="40" t="s">
        <v>94</v>
      </c>
      <c r="D39" s="40">
        <v>20.7</v>
      </c>
    </row>
    <row r="41" spans="2:8" ht="15.6" x14ac:dyDescent="0.3">
      <c r="C41" s="78"/>
    </row>
    <row r="42" spans="2:8" ht="15.6" x14ac:dyDescent="0.3">
      <c r="C42" s="78"/>
    </row>
    <row r="43" spans="2:8" ht="15.6" x14ac:dyDescent="0.3">
      <c r="C43" s="78"/>
      <c r="D43" s="63"/>
    </row>
    <row r="44" spans="2:8" ht="15.6" x14ac:dyDescent="0.3">
      <c r="C44" s="78"/>
    </row>
    <row r="45" spans="2:8" ht="15.6" x14ac:dyDescent="0.3">
      <c r="C45" s="78"/>
    </row>
    <row r="48" spans="2:8" ht="40.200000000000003" x14ac:dyDescent="0.3">
      <c r="B48" s="39" t="s">
        <v>95</v>
      </c>
      <c r="C48" s="40">
        <v>18500</v>
      </c>
      <c r="D48" s="79">
        <f t="shared" ref="D48:D53" si="0">C48/$C$54</f>
        <v>0.43052792031742709</v>
      </c>
      <c r="E48" s="40">
        <v>25000</v>
      </c>
      <c r="F48" s="79">
        <f>E48/$E$54</f>
        <v>0.43706293706293708</v>
      </c>
    </row>
    <row r="49" spans="2:6" ht="14.4" x14ac:dyDescent="0.3">
      <c r="B49" s="39" t="s">
        <v>96</v>
      </c>
      <c r="C49" s="40">
        <v>5300</v>
      </c>
      <c r="D49" s="79">
        <f t="shared" si="0"/>
        <v>0.1233404312260737</v>
      </c>
      <c r="E49" s="40">
        <v>7000</v>
      </c>
      <c r="F49" s="79">
        <f t="shared" ref="F49:F54" si="1">E49/$E$54</f>
        <v>0.12237762237762238</v>
      </c>
    </row>
    <row r="50" spans="2:6" ht="40.200000000000003" x14ac:dyDescent="0.3">
      <c r="B50" s="39" t="s">
        <v>97</v>
      </c>
      <c r="C50" s="40">
        <v>2200</v>
      </c>
      <c r="D50" s="79">
        <f t="shared" si="0"/>
        <v>5.1197914848558894E-2</v>
      </c>
      <c r="E50" s="40">
        <v>2200</v>
      </c>
      <c r="F50" s="79">
        <f t="shared" si="1"/>
        <v>3.8461538461538464E-2</v>
      </c>
    </row>
    <row r="51" spans="2:6" ht="53.4" x14ac:dyDescent="0.3">
      <c r="B51" s="39" t="s">
        <v>98</v>
      </c>
      <c r="C51" s="40">
        <v>10390.5</v>
      </c>
      <c r="D51" s="79">
        <f t="shared" si="0"/>
        <v>0.241805424651796</v>
      </c>
      <c r="E51" s="40">
        <v>14000</v>
      </c>
      <c r="F51" s="79">
        <f t="shared" si="1"/>
        <v>0.24475524475524477</v>
      </c>
    </row>
    <row r="52" spans="2:6" ht="40.200000000000003" x14ac:dyDescent="0.3">
      <c r="B52" s="39" t="s">
        <v>99</v>
      </c>
      <c r="C52" s="40">
        <v>5500</v>
      </c>
      <c r="D52" s="79">
        <f t="shared" si="0"/>
        <v>0.12799478712139722</v>
      </c>
      <c r="E52" s="40">
        <v>7920</v>
      </c>
      <c r="F52" s="79">
        <f t="shared" si="1"/>
        <v>0.13846153846153847</v>
      </c>
    </row>
    <row r="53" spans="2:6" ht="40.200000000000003" x14ac:dyDescent="0.3">
      <c r="B53" s="39" t="s">
        <v>100</v>
      </c>
      <c r="C53" s="40">
        <v>1080</v>
      </c>
      <c r="D53" s="79">
        <f t="shared" si="0"/>
        <v>2.5133521834747093E-2</v>
      </c>
      <c r="E53" s="40">
        <v>1080</v>
      </c>
      <c r="F53" s="79">
        <f t="shared" si="1"/>
        <v>1.8881118881118882E-2</v>
      </c>
    </row>
    <row r="54" spans="2:6" x14ac:dyDescent="0.25">
      <c r="C54" s="40">
        <f>SUM(C48:C53)</f>
        <v>42970.5</v>
      </c>
      <c r="E54" s="40">
        <v>57200</v>
      </c>
      <c r="F54" s="40">
        <f t="shared" si="1"/>
        <v>1</v>
      </c>
    </row>
    <row r="55" spans="2:6" x14ac:dyDescent="0.25">
      <c r="E55" s="40">
        <f>E48+E49+E50+E51+E52+E53</f>
        <v>57200</v>
      </c>
    </row>
  </sheetData>
  <mergeCells count="15">
    <mergeCell ref="B33:H33"/>
    <mergeCell ref="B36:H36"/>
    <mergeCell ref="C38:G38"/>
    <mergeCell ref="A26:B26"/>
    <mergeCell ref="A27:B27"/>
    <mergeCell ref="A28:B28"/>
    <mergeCell ref="A29:B29"/>
    <mergeCell ref="A30:B30"/>
    <mergeCell ref="A31:B31"/>
    <mergeCell ref="A18:H18"/>
    <mergeCell ref="A21:B21"/>
    <mergeCell ref="A22:B22"/>
    <mergeCell ref="A23:H23"/>
    <mergeCell ref="A24:B24"/>
    <mergeCell ref="A25:B25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"/>
  <sheetViews>
    <sheetView workbookViewId="0">
      <selection activeCell="C4" sqref="C4"/>
    </sheetView>
  </sheetViews>
  <sheetFormatPr defaultRowHeight="14.4" x14ac:dyDescent="0.3"/>
  <cols>
    <col min="2" max="2" width="39.33203125" customWidth="1"/>
    <col min="3" max="3" width="11.109375" style="2" customWidth="1"/>
  </cols>
  <sheetData>
    <row r="2" spans="2:4" x14ac:dyDescent="0.3">
      <c r="B2" t="s">
        <v>101</v>
      </c>
      <c r="C2" s="2">
        <f>Arkusz1!C39</f>
        <v>147550</v>
      </c>
      <c r="D2" t="s">
        <v>102</v>
      </c>
    </row>
    <row r="3" spans="2:4" x14ac:dyDescent="0.3">
      <c r="B3" t="s">
        <v>103</v>
      </c>
      <c r="C3" s="2">
        <f>Arkusz1!C2+Arkusz1!C19</f>
        <v>43.739999999999995</v>
      </c>
      <c r="D3" t="s">
        <v>104</v>
      </c>
    </row>
    <row r="4" spans="2:4" x14ac:dyDescent="0.3">
      <c r="B4" t="s">
        <v>105</v>
      </c>
      <c r="C4" s="2">
        <f>C2/C3</f>
        <v>3373.3424782807501</v>
      </c>
      <c r="D4" t="s">
        <v>102</v>
      </c>
    </row>
    <row r="5" spans="2:4" x14ac:dyDescent="0.3">
      <c r="C5" s="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kalkulacja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mir</cp:lastModifiedBy>
  <dcterms:created xsi:type="dcterms:W3CDTF">2016-03-03T09:55:56Z</dcterms:created>
  <dcterms:modified xsi:type="dcterms:W3CDTF">2017-04-18T16:30:59Z</dcterms:modified>
</cp:coreProperties>
</file>